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bookViews>
    <workbookView xWindow="0" yWindow="0" windowWidth="23040" windowHeight="7104"/>
  </bookViews>
  <sheets>
    <sheet name="Главная" sheetId="15" r:id="rId1"/>
    <sheet name="Kaspersky" sheetId="1" r:id="rId2"/>
    <sheet name="Dr.Web" sheetId="16" r:id="rId3"/>
    <sheet name="Microsoft" sheetId="6" r:id="rId4"/>
    <sheet name="1С" sheetId="9" r:id="rId5"/>
    <sheet name="Антиплагиат" sheetId="5" r:id="rId6"/>
  </sheets>
  <definedNames>
    <definedName name="_xlnm._FilterDatabase" localSheetId="4" hidden="1">'1С'!$A$4:$E$146</definedName>
    <definedName name="_xlnm._FilterDatabase" localSheetId="2" hidden="1">Dr.Web!$A$4:$E$99</definedName>
    <definedName name="_xlnm._FilterDatabase" localSheetId="1" hidden="1">Kaspersky!$A$4:$E$23</definedName>
    <definedName name="_xlnm._FilterDatabase" localSheetId="3" hidden="1">Microsoft!$A$4:$D$4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9" l="1"/>
  <c r="E144" i="9"/>
  <c r="E145" i="9"/>
  <c r="E146" i="9"/>
  <c r="E132" i="9"/>
  <c r="E133" i="9"/>
  <c r="E134" i="9"/>
  <c r="E135" i="9"/>
  <c r="E136" i="9"/>
  <c r="E137" i="9"/>
  <c r="E138" i="9"/>
  <c r="E139" i="9"/>
  <c r="E140" i="9"/>
  <c r="E141" i="9"/>
  <c r="E142" i="9"/>
  <c r="E131" i="9"/>
  <c r="E130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91" i="9"/>
  <c r="E90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7" i="9"/>
  <c r="E88" i="9"/>
  <c r="E89" i="9"/>
  <c r="E57" i="9"/>
  <c r="E58" i="9"/>
  <c r="E59" i="9"/>
  <c r="E60" i="9"/>
  <c r="E61" i="9"/>
  <c r="E62" i="9"/>
  <c r="E63" i="9"/>
  <c r="E64" i="9"/>
  <c r="E65" i="9"/>
  <c r="E66" i="9"/>
  <c r="E67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23" i="1" l="1"/>
  <c r="E21" i="1"/>
  <c r="E19" i="1"/>
  <c r="E18" i="1"/>
  <c r="E16" i="1"/>
  <c r="E15" i="1"/>
  <c r="E14" i="1"/>
  <c r="E13" i="1"/>
  <c r="E12" i="1"/>
  <c r="E11" i="1"/>
  <c r="E9" i="1"/>
  <c r="E8" i="1"/>
  <c r="E7" i="1"/>
  <c r="E6" i="1"/>
  <c r="D20" i="6"/>
  <c r="D19" i="6"/>
  <c r="D17" i="6"/>
  <c r="D16" i="6"/>
  <c r="D14" i="6"/>
  <c r="D13" i="6"/>
  <c r="D12" i="6"/>
  <c r="D11" i="6"/>
  <c r="D10" i="6"/>
  <c r="D9" i="6"/>
  <c r="D7" i="6"/>
  <c r="D6" i="6"/>
</calcChain>
</file>

<file path=xl/sharedStrings.xml><?xml version="1.0" encoding="utf-8"?>
<sst xmlns="http://schemas.openxmlformats.org/spreadsheetml/2006/main" count="754" uniqueCount="481">
  <si>
    <t>Артикул</t>
  </si>
  <si>
    <t>Описание</t>
  </si>
  <si>
    <t>Код производителя</t>
  </si>
  <si>
    <t>Кол-во в коробке</t>
  </si>
  <si>
    <t xml:space="preserve">    Контакты</t>
  </si>
  <si>
    <t>Прайс-навигатор:</t>
  </si>
  <si>
    <t>www.softmix.kz</t>
  </si>
  <si>
    <r>
      <t xml:space="preserve">Дәулетбаева Дидар    </t>
    </r>
    <r>
      <rPr>
        <sz val="12"/>
        <rFont val="Segoe UI"/>
        <family val="2"/>
        <charset val="204"/>
      </rPr>
      <t>Менеджер</t>
    </r>
  </si>
  <si>
    <r>
      <rPr>
        <b/>
        <sz val="12"/>
        <rFont val="Segoe UI"/>
        <family val="2"/>
        <charset val="204"/>
      </rPr>
      <t xml:space="preserve">Отызбаева Диана     </t>
    </r>
    <r>
      <rPr>
        <sz val="12"/>
        <rFont val="Segoe UI"/>
        <family val="2"/>
        <charset val="204"/>
      </rPr>
      <t>Менеджер</t>
    </r>
  </si>
  <si>
    <r>
      <t xml:space="preserve">Печенников Дмитрий   </t>
    </r>
    <r>
      <rPr>
        <sz val="12"/>
        <rFont val="Segoe UI"/>
        <family val="2"/>
        <charset val="204"/>
      </rPr>
      <t>Директор</t>
    </r>
  </si>
  <si>
    <t>dp@softmix.kz</t>
  </si>
  <si>
    <r>
      <rPr>
        <b/>
        <sz val="12"/>
        <rFont val="Segoe UI"/>
        <family val="2"/>
        <charset val="204"/>
      </rPr>
      <t xml:space="preserve">Ермольчева Анастасия </t>
    </r>
    <r>
      <rPr>
        <sz val="12"/>
        <rFont val="Segoe UI"/>
        <family val="2"/>
        <charset val="204"/>
      </rPr>
      <t>Менеджер</t>
    </r>
  </si>
  <si>
    <t>dd@softmix.kz</t>
  </si>
  <si>
    <t>info@softmix.kz</t>
  </si>
  <si>
    <t>Skype: dmitry_pechennikov         Тел.: 72-53-05</t>
  </si>
  <si>
    <t>Тел.: 78-72-06</t>
  </si>
  <si>
    <t>Тел.:  72-53-05</t>
  </si>
  <si>
    <t>Skype: .cid.a22446cda65a5260     Тел.: 78-72-06</t>
  </si>
  <si>
    <t>Skype: d6cdf96bdfe1e818             Тел.: 78-72-07</t>
  </si>
  <si>
    <r>
      <t xml:space="preserve">Нурлан Ж. </t>
    </r>
    <r>
      <rPr>
        <sz val="12"/>
        <rFont val="Segoe UI"/>
        <family val="2"/>
        <charset val="204"/>
      </rPr>
      <t>Менеджер</t>
    </r>
  </si>
  <si>
    <t>nk@softmix.kz</t>
  </si>
  <si>
    <t>Kaspersky</t>
  </si>
  <si>
    <t>Dr.Web</t>
  </si>
  <si>
    <t>Microsoft</t>
  </si>
  <si>
    <t>Антиплагиат</t>
  </si>
  <si>
    <t>1С</t>
  </si>
  <si>
    <t>Цена. тг.</t>
  </si>
  <si>
    <t>Kaspersky Internet Security for Android Kazakhstan Edition. 1-Mobile device 1 year Base Retail Pack</t>
  </si>
  <si>
    <t>KL10910UAFS</t>
  </si>
  <si>
    <t>Kaspersky Internet Security Kazakhstan Edition. 2-Device 1 year Base Retail Pack</t>
  </si>
  <si>
    <t>Kaspersky Internet Security Kazakhstan Edition. 3-Device 1 year Base Retail Pack</t>
  </si>
  <si>
    <t>KL19390UBFS</t>
  </si>
  <si>
    <t>Kaspersky Internet Security Kazakhstan Edition. 2-Device 1 year Renewal Retail Pack</t>
  </si>
  <si>
    <t>Kaspersky Internet Security Kazakhstan Edition. 3-Device 1 year Renewal Retail Pack</t>
  </si>
  <si>
    <t>KL19390UBFR</t>
  </si>
  <si>
    <t>KL19390UCFS</t>
  </si>
  <si>
    <t>Кол-во устройств</t>
  </si>
  <si>
    <t>KL19390UCFR</t>
  </si>
  <si>
    <t>Kaspersky Internet Security Kazakhstan Edition. 5-Device 1 year Base Retail Pack</t>
  </si>
  <si>
    <t>KL19390UEFS</t>
  </si>
  <si>
    <t>Kaspersky Internet Security Kazakhstan Edition. 5-Device 1 year Renewal Retail Pack</t>
  </si>
  <si>
    <t>KL19390UEFR</t>
  </si>
  <si>
    <t>Kaspersky Anti-Virus Kazakhstan Edition. 2-Desktop 1 year Base Retail Pack</t>
  </si>
  <si>
    <t>KL11710UBFS</t>
  </si>
  <si>
    <t>Kaspersky Anti-Virus Kazakhstan Edition. 2-Desktop 1 year Renewal Retail Pack</t>
  </si>
  <si>
    <t>KL11710UBFR</t>
  </si>
  <si>
    <t>Kaspersky Safe Kids Kazakhstan Edition. 1-User 1 year Base Retail Pack</t>
  </si>
  <si>
    <t>KL19620UAFS</t>
  </si>
  <si>
    <t>Kaspersky Total Security Kazakhstan Edition. 2-Device; 1-Account KPM; 1-Account KSK 1 year Base Retail Pack</t>
  </si>
  <si>
    <t>KL19490UBFS</t>
  </si>
  <si>
    <t>Kaspersky Total Security Kazakhstan Edition. 2-Device; 1-Account KPM; 1-Account KSK 1 year Renewal Retail Pack</t>
  </si>
  <si>
    <t>KL19490UBFR</t>
  </si>
  <si>
    <t>Kaspersky Total Security Kazakhstan Edition. 3-Device; 1-Account KPM; 1-Account KSK 1 year Base Retail Pack</t>
  </si>
  <si>
    <t>KL19490UCFS</t>
  </si>
  <si>
    <t>Kaspersky Total Security Kazakhstan Edition. 3-Device; 1-Account KPM; 1-Account KSK 1 year Renewal Retail Pack</t>
  </si>
  <si>
    <t>KL19490UCFR</t>
  </si>
  <si>
    <t>Kaspersky Total Security</t>
  </si>
  <si>
    <t>Kaspersky Internet Secirity</t>
  </si>
  <si>
    <t xml:space="preserve">Kaspersky Internet Security for Android </t>
  </si>
  <si>
    <t>Kaspersky Anti-Virus</t>
  </si>
  <si>
    <t>Kaspersky Safe Kids</t>
  </si>
  <si>
    <t>ВОЗВРАТ НА ГЛАВНУЮ</t>
  </si>
  <si>
    <t>Прайс-лист: от 16.04.2020 г. Форма поставки: ESD - электронный ключ</t>
  </si>
  <si>
    <t>Dr.Web Katana</t>
  </si>
  <si>
    <t>Dr.Web Security Space</t>
  </si>
  <si>
    <t>Dr.Web Антивирус</t>
  </si>
  <si>
    <t>Dr.Web Mobile Security</t>
  </si>
  <si>
    <t>Срок действия</t>
  </si>
  <si>
    <t>1 год</t>
  </si>
  <si>
    <t>Dr.Web Katana на 12 м., 1 ПК, новая лицензия</t>
  </si>
  <si>
    <t>LHM-KK-12M-1-A3</t>
  </si>
  <si>
    <t>Dr.Web Katana на 12 м., 1 ПК, продление лицензии</t>
  </si>
  <si>
    <t>Dr.Web Katana на 12 м., 2 ПК, новая лицензия</t>
  </si>
  <si>
    <t>Dr.Web Katana на 12 м., 2 ПК, продление лицензии</t>
  </si>
  <si>
    <t>LHM-KK-12M-2-A3</t>
  </si>
  <si>
    <t>LHM-KK-12M-2-B3</t>
  </si>
  <si>
    <t>LHM-KK-12M-1-B3</t>
  </si>
  <si>
    <t>Dr.Web Katana на 12 м., 3 ПК, новая лицензия</t>
  </si>
  <si>
    <t>Dr.Web Katana на 12 м., 3 ПК, продление лицензии</t>
  </si>
  <si>
    <t>LHM-KK-12M-3-A3</t>
  </si>
  <si>
    <t>LHM-KK-12M-3-B3</t>
  </si>
  <si>
    <t>Dr.Web Katana на 12 м., 4 ПК, новая лицензия</t>
  </si>
  <si>
    <t>Dr.Web Katana на 12 м., 4 ПК, продление лицензии</t>
  </si>
  <si>
    <t>LHM-KK-12M-4-A3</t>
  </si>
  <si>
    <t>LHM-KK-12M-4-B3</t>
  </si>
  <si>
    <t>Dr.Web Katana на 12 м., 5 ПК, новая лицензия</t>
  </si>
  <si>
    <t>LHM-KK-12M-5-A3</t>
  </si>
  <si>
    <t>Dr.Web Katana на 12 м., 5 ПК, продление лицензии</t>
  </si>
  <si>
    <t>LHM-KK-12M-5-B3</t>
  </si>
  <si>
    <t>2 года</t>
  </si>
  <si>
    <t>3 года</t>
  </si>
  <si>
    <t>Dr.Web Katana на 24 м., 1 ПК, новая лицензия</t>
  </si>
  <si>
    <t>Dr.Web Katana на 24 м., 1 ПК, продление лицензии</t>
  </si>
  <si>
    <t>Dr.Web Katana на 24 м., 2 ПК, новая лицензия</t>
  </si>
  <si>
    <t>Dr.Web Katana на 24 м., 2 ПК, продление лицензии</t>
  </si>
  <si>
    <t>Dr.Web Katana на 24 м., 3 ПК, новая лицензия</t>
  </si>
  <si>
    <t>Dr.Web Katana на 24 м., 3 ПК, продление лицензии</t>
  </si>
  <si>
    <t>Dr.Web Katana на 24 м., 4 ПК, новая лицензия</t>
  </si>
  <si>
    <t>Dr.Web Katana на 24 м., 4 ПК, продление лицензии</t>
  </si>
  <si>
    <t>Dr.Web Katana на 24 м., 5 ПК, новая лицензия</t>
  </si>
  <si>
    <t>Dr.Web Katana на 24 м., 5 ПК, продление лицензии</t>
  </si>
  <si>
    <t>Dr.Web Katana на 36 м., 1 ПК, новая лицензия</t>
  </si>
  <si>
    <t>Dr.Web Katana на 36 м., 1 ПК, продление лицензии</t>
  </si>
  <si>
    <t>Dr.Web Katana на 36 м., 2 ПК, новая лицензия</t>
  </si>
  <si>
    <t>Dr.Web Katana на 36 м., 2 ПК, продление лицензии</t>
  </si>
  <si>
    <t>Dr.Web Katana на 36 м., 3 ПК, новая лицензия</t>
  </si>
  <si>
    <t>Dr.Web Katana на 36 м., 3 ПК, продление лицензии</t>
  </si>
  <si>
    <t>Dr.Web Katana на 36 м., 4 ПК, новая лицензия</t>
  </si>
  <si>
    <t>Dr.Web Katana на 36 м., 4 ПК, продление лицензии</t>
  </si>
  <si>
    <t>Dr.Web Katana на 36 м., 5 ПК, новая лицензия</t>
  </si>
  <si>
    <t>Dr.Web Katana на 36 м., 5 ПК, продление лицензии</t>
  </si>
  <si>
    <t>LHM-KK-24M-1-A3</t>
  </si>
  <si>
    <t>LHM-KK-24M-2-A3</t>
  </si>
  <si>
    <t>LHM-KK-24M-3-A3</t>
  </si>
  <si>
    <t>LHM-KK-24M-4-A3</t>
  </si>
  <si>
    <t>LHM-KK-24M-5-A3</t>
  </si>
  <si>
    <t>LHM-KK-36M-1-A3</t>
  </si>
  <si>
    <t>LHM-KK-36M-2-A3</t>
  </si>
  <si>
    <t>LHM-KK-36M-3-A3</t>
  </si>
  <si>
    <t>LHM-KK-36M-4-A3</t>
  </si>
  <si>
    <t>LHM-KK-36M-5-A3</t>
  </si>
  <si>
    <t>LHM-KK-24M-1-B3</t>
  </si>
  <si>
    <t>LHM-KK-24M-2-B3</t>
  </si>
  <si>
    <t>LHM-KK-24M-3-B3</t>
  </si>
  <si>
    <t>LHM-KK-24M-4-B3</t>
  </si>
  <si>
    <t>LHM-KK-24M-5-B3</t>
  </si>
  <si>
    <t>LHM-KK-36M-1-B3</t>
  </si>
  <si>
    <t>LHM-KK-36M-2-B3</t>
  </si>
  <si>
    <t>LHM-KK-36M-3-B3</t>
  </si>
  <si>
    <t>LHM-KK-36M-4-B3</t>
  </si>
  <si>
    <t>LHM-KK-36M-5-B3</t>
  </si>
  <si>
    <t>Dr.Web Security Space на 12 м., 1 ПК, новая лицензия</t>
  </si>
  <si>
    <t>Dr.Web Security Space на 12 м., 1 ПК, продление лицензии</t>
  </si>
  <si>
    <t>LHW-BK-12M-1-A3</t>
  </si>
  <si>
    <t>LHW-BK-12M-1-B3</t>
  </si>
  <si>
    <t>Dr.Web Security Space на 12 м., 2 ПК, новая лицензия</t>
  </si>
  <si>
    <t>Dr.Web Security Space на 12 м., 2 ПК, продление лицензии</t>
  </si>
  <si>
    <t>Dr.Web Security Space на 12 м., 3 ПК, новая лицензия</t>
  </si>
  <si>
    <t>Dr.Web Security Space на 12 м., 3 ПК, продление лицензии</t>
  </si>
  <si>
    <t>Dr.Web Security Space на 12 м., 4 ПК, новая лицензия</t>
  </si>
  <si>
    <t>Dr.Web Security Space на 12 м., 4 ПК, продление лицензии</t>
  </si>
  <si>
    <t>Dr.Web Security Space на 12 м., 5 ПК, новая лицензия</t>
  </si>
  <si>
    <t>Dr.Web Security Space на 12 м., 5 ПК, продление лицензии</t>
  </si>
  <si>
    <t>LHW-BK-12M-2-A3</t>
  </si>
  <si>
    <t>LHW-BK-12M-2-B3</t>
  </si>
  <si>
    <t>LHW-BK-12M-3-A3</t>
  </si>
  <si>
    <t>LHW-BK-12M-3-B3</t>
  </si>
  <si>
    <t>LHW-BK-12M-4-A3</t>
  </si>
  <si>
    <t>LHW-BK-12M-4-B3</t>
  </si>
  <si>
    <t>LHW-BK-12M-5-A3</t>
  </si>
  <si>
    <t>LHW-BK-12M-5-B3</t>
  </si>
  <si>
    <t>Dr.Web Security Space на 24 м., 1 ПК, новая лицензия</t>
  </si>
  <si>
    <t>Dr.Web Security Space на 24 м., 1 ПК, продление лицензии</t>
  </si>
  <si>
    <t>Dr.Web Security Space на 24 м., 2 ПК, новая лицензия</t>
  </si>
  <si>
    <t>Dr.Web Security Space на 24 м., 2 ПК, продление лицензии</t>
  </si>
  <si>
    <t>Dr.Web Security Space на 24 м., 3 ПК, новая лицензия</t>
  </si>
  <si>
    <t>Dr.Web Security Space на 24 м., 3 ПК, продление лицензии</t>
  </si>
  <si>
    <t>Dr.Web Security Space на 24 м., 4 ПК, новая лицензия</t>
  </si>
  <si>
    <t>Dr.Web Security Space на 24 м., 4 ПК, продление лицензии</t>
  </si>
  <si>
    <t>Dr.Web Security Space на 24 м., 5 ПК, новая лицензия</t>
  </si>
  <si>
    <t>Dr.Web Security Space на 24 м., 5 ПК, продление лицензии</t>
  </si>
  <si>
    <t>Dr.Web Security Space на 36 м., 1 ПК, новая лицензия</t>
  </si>
  <si>
    <t>Dr.Web Security Space на 36 м., 1 ПК, продление лицензии</t>
  </si>
  <si>
    <t>Dr.Web Security Space на 36 м., 2 ПК, новая лицензия</t>
  </si>
  <si>
    <t>Dr.Web Security Space на 36 м., 2 ПК, продление лицензии</t>
  </si>
  <si>
    <t>Dr.Web Security Space на 36 м., 3 ПК, новая лицензия</t>
  </si>
  <si>
    <t>Dr.Web Security Space на 36 м., 3 ПК, продление лицензии</t>
  </si>
  <si>
    <t>Dr.Web Security Space на 36 м., 4 ПК, новая лицензия</t>
  </si>
  <si>
    <t>Dr.Web Security Space на 36 м., 4 ПК, продление лицензии</t>
  </si>
  <si>
    <t>Dr.Web Security Space на 36 м., 5 ПК, новая лицензия</t>
  </si>
  <si>
    <t>Dr.Web Security Space на 36 м., 5 ПК, продление лицензии</t>
  </si>
  <si>
    <t>LHW-BK-24M-1-A3</t>
  </si>
  <si>
    <t>LHW-BK-24M-1-B3</t>
  </si>
  <si>
    <t>LHW-BK-24M-2-A3</t>
  </si>
  <si>
    <t>LHW-BK-24M-2-B3</t>
  </si>
  <si>
    <t>LHW-BK-24M-3-A3</t>
  </si>
  <si>
    <t>LHW-BK-24M-3-B3</t>
  </si>
  <si>
    <t>LHW-BK-24M-4-A3</t>
  </si>
  <si>
    <t>LHW-BK-24M-4-B3</t>
  </si>
  <si>
    <t>LHW-BK-24M-5-A3</t>
  </si>
  <si>
    <t>LHW-BK-24M-5-B3</t>
  </si>
  <si>
    <t>LHW-BK-36M-1-A3</t>
  </si>
  <si>
    <t>LHW-BK-36M-1-B3</t>
  </si>
  <si>
    <t>LHW-BK-36M-2-A3</t>
  </si>
  <si>
    <t>LHW-BK-36M-2-B3</t>
  </si>
  <si>
    <t>LHW-BK-36M-3-A3</t>
  </si>
  <si>
    <t>LHW-BK-36M-3-B3</t>
  </si>
  <si>
    <t>LHW-BK-36M-4-A3</t>
  </si>
  <si>
    <t>LHW-BK-36M-4-B3</t>
  </si>
  <si>
    <t>LHW-BK-36M-5-A3</t>
  </si>
  <si>
    <t>LHW-BK-36M-5-B3</t>
  </si>
  <si>
    <t>Dr.Web Антивирус на 12 м., 1 ПК, продление лицензии</t>
  </si>
  <si>
    <t>Dr.Web Антивирус на 12 м., 2 ПК, новая лицензия</t>
  </si>
  <si>
    <t>Dr.Web Антивирус на 12 м., 2 ПК, продление лицензии</t>
  </si>
  <si>
    <t>Dr.Web Антивирус на 12 м., 3 ПК, новая лицензия</t>
  </si>
  <si>
    <t>Dr.Web Антивирус на 12 м., 3 ПК, продление лицензии</t>
  </si>
  <si>
    <t>Dr.Web Антивирус на 12 м., 4 ПК, новая лицензия</t>
  </si>
  <si>
    <t>Dr.Web Антивирус на 12 м., 4 ПК, продление лицензии</t>
  </si>
  <si>
    <t>Dr.Web Антивирус на 12 м., 5 ПК, новая лицензия</t>
  </si>
  <si>
    <t>Dr.Web Антивирус на 12 м., 5 ПК, продление лицензии</t>
  </si>
  <si>
    <t>Dr.Web Антивирус на 24 м., 1 ПК, новая лицензия</t>
  </si>
  <si>
    <t>Dr.Web Антивирус на 24 м., 1 ПК, продление лицензии</t>
  </si>
  <si>
    <t>Dr.Web Антивирус на 24 м., 2 ПК, новая лицензия</t>
  </si>
  <si>
    <t>Dr.Web Антивирус на 24 м., 2 ПК, продление лицензии</t>
  </si>
  <si>
    <t>Dr.Web Антивирус на 24 м., 3 ПК, новая лицензия</t>
  </si>
  <si>
    <t>Dr.Web Антивирус на 24 м., 3 ПК, продление лицензии</t>
  </si>
  <si>
    <t>Dr.Web Антивирус на 24 м., 4 ПК, новая лицензия</t>
  </si>
  <si>
    <t>Dr.Web Антивирус на 24 м., 4 ПК, продление лицензии</t>
  </si>
  <si>
    <t>Dr.Web Антивирус на 24 м., 5 ПК, новая лицензия</t>
  </si>
  <si>
    <t>Dr.Web Антивирус на 24 м., 5 ПК, продление лицензии</t>
  </si>
  <si>
    <t>Dr.Web Антивирус на 36 м., 1 ПК, новая лицензия</t>
  </si>
  <si>
    <t>Dr.Web Антивирус на 36 м., 1 ПК, продление лицензии</t>
  </si>
  <si>
    <t>Dr.Web Антивирус на 36 м., 2 ПК, новая лицензия</t>
  </si>
  <si>
    <t>Dr.Web Антивирус на 36 м., 2 ПК, продление лицензии</t>
  </si>
  <si>
    <t>Dr.Web Антивирус на 36 м., 3 ПК, новая лицензия</t>
  </si>
  <si>
    <t>Dr.Web Антивирус на 36 м., 3 ПК, продление лицензии</t>
  </si>
  <si>
    <t>Dr.Web Антивирус на 36 м., 4 ПК, новая лицензия</t>
  </si>
  <si>
    <t>Dr.Web Антивирус на 36 м., 4 ПК, продление лицензии</t>
  </si>
  <si>
    <t>Dr.Web Антивирус на 36 м., 5 ПК, новая лицензия</t>
  </si>
  <si>
    <t>Dr.Web Антивирус на 36 м., 5 ПК, продление лицензии</t>
  </si>
  <si>
    <t>Dr.Web Антивирус на 12 м., 1 ПК, новая лицензия</t>
  </si>
  <si>
    <t>LHW-AK-12M-1-A3</t>
  </si>
  <si>
    <t>LHW-AK-12M-1-B3</t>
  </si>
  <si>
    <t>LHW-AK-12M-2-A3</t>
  </si>
  <si>
    <t>LHW-AK-12M-2-B3</t>
  </si>
  <si>
    <t>LHW-AK-12M-3-A3</t>
  </si>
  <si>
    <t>LHW-AK-12M-3-B3</t>
  </si>
  <si>
    <t>LHW-AK-12M-4-A3</t>
  </si>
  <si>
    <t>LHW-AK-12M-4-B3</t>
  </si>
  <si>
    <t>LHW-AK-12M-5-A3</t>
  </si>
  <si>
    <t>LHW-AK-12M-5-B3</t>
  </si>
  <si>
    <t>LHW-AK-24M-1-A3</t>
  </si>
  <si>
    <t>LHW-AK-24M-1-B3</t>
  </si>
  <si>
    <t>LHW-AK-24M-2-A3</t>
  </si>
  <si>
    <t>LHW-AK-24M-2-B3</t>
  </si>
  <si>
    <t>LHW-AK-24M-3-A3</t>
  </si>
  <si>
    <t>LHW-AK-24M-3-B3</t>
  </si>
  <si>
    <t>LHW-AK-24M-4-A3</t>
  </si>
  <si>
    <t>LHW-AK-24M-4-B3</t>
  </si>
  <si>
    <t>LHW-AK-24M-5-A3</t>
  </si>
  <si>
    <t>LHW-AK-24M-5-B3</t>
  </si>
  <si>
    <t>LHW-AK-36M-1-A3</t>
  </si>
  <si>
    <t>LHW-AK-36M-1-B3</t>
  </si>
  <si>
    <t>LHW-AK-36M-2-A3</t>
  </si>
  <si>
    <t>LHW-AK-36M-2-B3</t>
  </si>
  <si>
    <t>LHW-AK-36M-3-A3</t>
  </si>
  <si>
    <t>LHW-AK-36M-3-B3</t>
  </si>
  <si>
    <t>LHW-AK-36M-4-A3</t>
  </si>
  <si>
    <t>LHW-AK-36M-4-B3</t>
  </si>
  <si>
    <t>LHW-AK-36M-5-A3</t>
  </si>
  <si>
    <t>LHW-AK-36M-5-B3</t>
  </si>
  <si>
    <t>Dr.Web Mobile Security на 12 м., 1 МУ, новая лицензия</t>
  </si>
  <si>
    <t>Dr.Web Mobile Security на 12 м., 2 МУ, новая лицензия</t>
  </si>
  <si>
    <t>Dr.Web Mobile Security на 12 м., 3 МУ, новая лицензия</t>
  </si>
  <si>
    <t>Dr.Web Mobile Security на 12 м., 4 МУ, новая лицензия</t>
  </si>
  <si>
    <t>Dr.Web Mobile Security на 12 м., 5 МУ, новая лицензия</t>
  </si>
  <si>
    <t>Dr.Web Mobile Security на 24 м., 1 МУ, новая лицензия</t>
  </si>
  <si>
    <t>Dr.Web Mobile Security на 24 м., 2 МУ, новая лицензия</t>
  </si>
  <si>
    <t>Dr.Web Mobile Security на 24 м., 3 МУ, новая лицензия</t>
  </si>
  <si>
    <t>Dr.Web Mobile Security на 24 м., 4 МУ, новая лицензия</t>
  </si>
  <si>
    <t>Dr.Web Mobile Security на 24 м., 5 МУ, новая лицензия</t>
  </si>
  <si>
    <t>Dr.Web Mobile Security на 36 м., 1 МУ, новая лицензия</t>
  </si>
  <si>
    <t>Dr.Web Mobile Security на 36 м., 2 МУ, новая лицензия</t>
  </si>
  <si>
    <t>Dr.Web Mobile Security на 36 м., 3 МУ, новая лицензия</t>
  </si>
  <si>
    <t>Dr.Web Mobile Security на 36 м., 4 МУ, новая лицензия</t>
  </si>
  <si>
    <t>Dr.Web Mobile Security на 36 м., 5 МУ, новая лицензия</t>
  </si>
  <si>
    <t>LHM-AA-12M-1-A3</t>
  </si>
  <si>
    <t>LHM-AA-12M-2-A3</t>
  </si>
  <si>
    <t>LHM-AA-12M-3-A3</t>
  </si>
  <si>
    <t>LHM-AA-12M-4-A3</t>
  </si>
  <si>
    <t>LHM-AA-12M-5-A3</t>
  </si>
  <si>
    <t>LHM-AA-24M-1-A3</t>
  </si>
  <si>
    <t>LHM-AA-24M-2-A3</t>
  </si>
  <si>
    <t>LHM-AA-24M-3-A3</t>
  </si>
  <si>
    <t>LHM-AA-24M-4-A3</t>
  </si>
  <si>
    <t>LHM-AA-24M-5-A3</t>
  </si>
  <si>
    <t>LHM-AA-36M-1-A3</t>
  </si>
  <si>
    <t>LHM-AA-36M-2-A3</t>
  </si>
  <si>
    <t>LHM-AA-36M-3-A3</t>
  </si>
  <si>
    <t>LHM-AA-36M-4-A3</t>
  </si>
  <si>
    <t>LHM-AA-36M-5-A3</t>
  </si>
  <si>
    <t>Цена тг.</t>
  </si>
  <si>
    <t>Microsoft Windows</t>
  </si>
  <si>
    <t>Microsoft Office</t>
  </si>
  <si>
    <t>Microsoft Project</t>
  </si>
  <si>
    <t>Microsoft Visio</t>
  </si>
  <si>
    <t>MS WIN HOME 10 32-bit/64-bit All Lng PK Lic Online DwnLd NR</t>
  </si>
  <si>
    <t>MS Win Pro 10 32-bit/64-bit All Lng PK Lic Online DwnLd NR</t>
  </si>
  <si>
    <t>KW9-00265</t>
  </si>
  <si>
    <t>FQC-09131</t>
  </si>
  <si>
    <t>бессрочная</t>
  </si>
  <si>
    <t>MS O365 Bus Prem Retail All Lng SubPKL 1YR Onln CEE Only DwnLd NR</t>
  </si>
  <si>
    <t>KLQ-00217</t>
  </si>
  <si>
    <t>MS Office 365 Home 32/64 AllLngSub PKLic 1YR Online CEE C2R NR</t>
  </si>
  <si>
    <t>6GQ-00084</t>
  </si>
  <si>
    <t>MS Office 365 Personal 32/64 AllLngSub PKLic 1YR Online CEE C2R NR</t>
  </si>
  <si>
    <t>QQ2-00004</t>
  </si>
  <si>
    <t>MS Office Home and Business 2019 All Lng PKL Onln CEE Only DwnLd C2R NR</t>
  </si>
  <si>
    <t>T5D-03189</t>
  </si>
  <si>
    <t>MS Office Home and Student 2019 All Lng PKL Onln CEE Only DwnLd C2R NR</t>
  </si>
  <si>
    <t>79G-05012</t>
  </si>
  <si>
    <t>MS Office Pro 2019 All Lng PKL Online CEE Only DwnLd C2R NR</t>
  </si>
  <si>
    <t>269-17064</t>
  </si>
  <si>
    <t>MS Project Pro 2019 Win All Lng PKL Online DwnLd C2R NR</t>
  </si>
  <si>
    <t>H30-05756</t>
  </si>
  <si>
    <t>MS Project Standard 2019 Win All Lng PKL Online DwnLd C2R NR</t>
  </si>
  <si>
    <t>076-05785</t>
  </si>
  <si>
    <t>MS Visio Pro 2019 Win All Lng PKL Online DwnLd C2R NR</t>
  </si>
  <si>
    <t>MS Visio Std 2019 Win All Lng PKL Online DwnLd C2R NR</t>
  </si>
  <si>
    <t>D87-07425</t>
  </si>
  <si>
    <t>D86-05822</t>
  </si>
  <si>
    <t>Коэф.</t>
  </si>
  <si>
    <t>1С:Предприятие 8 Управление торговлей для Казахстана</t>
  </si>
  <si>
    <t>1С:Бухгалтерия 8 для Казахстана</t>
  </si>
  <si>
    <t xml:space="preserve">1С:Бухгалтерия 8 для Казахстана. Комплект на 5 пользователей </t>
  </si>
  <si>
    <t>1С:Предприятие 8. Зарплата и управление персоналом для Казахстана</t>
  </si>
  <si>
    <t>1С:Предприятие 8. Управление нашей фирмой  для Казахстана</t>
  </si>
  <si>
    <t>1С:Предприятие 8. Розница для Казахстана</t>
  </si>
  <si>
    <t>1С:Предприятие 8. Бухгалтерский учет для государственных учреждений Казахстана</t>
  </si>
  <si>
    <t>1С:Предприятие 8. Бухгалтерский учет для государственных учреждений Казахстана. Комплект на 5 пользователей</t>
  </si>
  <si>
    <t>1С:Предприятие 8. Бухгалтерский учет для государственных предприятий Казахстана</t>
  </si>
  <si>
    <t>1С:Предприятие 8. Зарплата и кадры для государственных организаций Казахстана</t>
  </si>
  <si>
    <t>1С:Комплексная автоматизация 8 для Казахстана. Редакция 2</t>
  </si>
  <si>
    <t>1С:Комплексная автоматизация 8 для Казахстана на 10 пользователей + клиент-сервер. Редакция 2</t>
  </si>
  <si>
    <t>1С:Предприятие 8. Конфигурация "Модуль "Бюджетирование" для 1С:КА 8 для Казахстана"</t>
  </si>
  <si>
    <t>1С:Предприятие 8. Комплект прикладных решений на 5 пользователей для Казахстана</t>
  </si>
  <si>
    <t>1С:Предприятие 8.3. Технологическая поставка</t>
  </si>
  <si>
    <t>1С:Предприятие 8. Свод отчетов для Казахстана</t>
  </si>
  <si>
    <t>1С-Рейтинг: Общепит для Казахстана. Включает платформу 1С:Предприятие 8. Технологическая поддержка ТОР 2-й категории</t>
  </si>
  <si>
    <t>Конфигурация 1С-Рейтинг: Общепит для Казахстана. Технологическая поддержка ТОР 2-й категории</t>
  </si>
  <si>
    <t>Тип лицензии</t>
  </si>
  <si>
    <t xml:space="preserve">программная </t>
  </si>
  <si>
    <t>1С:Документооборот 8 ПРОФ</t>
  </si>
  <si>
    <t>Основные поставки</t>
  </si>
  <si>
    <t>Клиентские лицензии</t>
  </si>
  <si>
    <t>Лицензии на сервер</t>
  </si>
  <si>
    <t>Лицензии на MS SQL Server</t>
  </si>
  <si>
    <t>Подписка ИТС</t>
  </si>
  <si>
    <t>Прайс-лист: от 16.04.2020 г.</t>
  </si>
  <si>
    <t>Кол-во пользователей</t>
  </si>
  <si>
    <t>1С:Бухгалтерия 8 для Казахстана. Учебная версия. 2-е издание</t>
  </si>
  <si>
    <t>1С:Предприятие 8.3. Версия для обучения программированию</t>
  </si>
  <si>
    <t>1С:Бухгалтерия 8. для Казахстана. Базовая версия</t>
  </si>
  <si>
    <t>1С:Предприятие 8. Розница для Казахстана. Базовая версия</t>
  </si>
  <si>
    <t>1С:Предприятие 8. Управление нашей фирмой для Казахстана. Базовая версия</t>
  </si>
  <si>
    <t>1C:Предприятие 8 Управление торговлей для Казахстана. Базовая версия</t>
  </si>
  <si>
    <t>1С:Бухгалтерия 8 для Казахстана (USB)</t>
  </si>
  <si>
    <t>1С:Бухгалтерия 8 для Казахстана. Комплект на 5 пользователей.(USB)</t>
  </si>
  <si>
    <t>1С:Предприятие 8. Бухгалтерский учет для государственных предприятий Казахстана (USB)</t>
  </si>
  <si>
    <t>1С:Предприятие 8. Бухгалтерский учет для государственных учреждений Казахстана (USB)</t>
  </si>
  <si>
    <t>1C:Предприятие 8. Розница для Казахстана. (USB)</t>
  </si>
  <si>
    <t>1С:Предприятие 8. Управление торговлей  для Казахстана (USB)</t>
  </si>
  <si>
    <t>1С:Предприятие 8. Зарплата и Управление Персоналом для Казахстана (USB)</t>
  </si>
  <si>
    <t>1С:Предприятие 8. Зарплата и кадры для государственных организаций Казахстана (USB)</t>
  </si>
  <si>
    <t>1С:Комплексная автоматизация 8 для Казахстана. Редакция 2 (USB)</t>
  </si>
  <si>
    <t xml:space="preserve">1С:Комплексная автоматизация 8 для Казахстана на 10 пользователей + клиент-сервер. Редакция 2 (USB) </t>
  </si>
  <si>
    <t>1С:Предприятие 8 Комплект прикладных решений на 5 пользователей для Казахстана (USB)</t>
  </si>
  <si>
    <t>1С:Предприятие 8. Свод отчетов для Казахстана (USB)</t>
  </si>
  <si>
    <t>1С:Предприятие 8. Управление Проектным Офисом. Основная поставка</t>
  </si>
  <si>
    <t>1С:Документооборот 8 ПРОФ(аппаратная защита)</t>
  </si>
  <si>
    <t>1С:Предприятие 8.2 Технологическая поставка(USB)</t>
  </si>
  <si>
    <t>1С-Рейтинг: Общепит для Казахстана. Включает платформу 1С:Предприятие 8 (USB)</t>
  </si>
  <si>
    <t>1С-Рейтинг: Общепит. Базовая версия</t>
  </si>
  <si>
    <t>Конфигурация 1С-Рейтинг: Общепит для Казахстана (USB)</t>
  </si>
  <si>
    <t>Электронный справочник рецептур для "1С-Рейтинг: Общепит для Казахстана", подключение и доступ на 1 месяц"</t>
  </si>
  <si>
    <t>Электронный справочник рецептур для "1С-Рейтинг: Общепит для Казахстана", продление доступа на 1 месяц"</t>
  </si>
  <si>
    <t xml:space="preserve">1С-Рейтинг: Управление финансами и бюджетирование для Казахстана. Включает платформу 1С:Предприятие 8 </t>
  </si>
  <si>
    <t xml:space="preserve">Конфигурация 1С-Рейтинг: Управление финансами и бюджетирование для Казахстана </t>
  </si>
  <si>
    <t>1С:Предприятие 8. Отель</t>
  </si>
  <si>
    <t>1С:Предприятие 8. Отель для 5 пользователей</t>
  </si>
  <si>
    <t>1С:Предприятие 8. Расширение для карманных компьютеров (включает лицензию на 5 КПК)</t>
  </si>
  <si>
    <t>учебная</t>
  </si>
  <si>
    <t>базовая</t>
  </si>
  <si>
    <t>аппаратная (USB)</t>
  </si>
  <si>
    <t>мобильная</t>
  </si>
  <si>
    <t>подписка 1 месяц</t>
  </si>
  <si>
    <t>продление 1 месяц</t>
  </si>
  <si>
    <t>1С:Предприятие 8 ПРОФ. Клиентская лицензия на одно рабочее место (программная защита)</t>
  </si>
  <si>
    <t>1С:Предприятие 8 ПРОФ. Клиентская лицензия на 5 рабочих мест (программная защита)</t>
  </si>
  <si>
    <t>1С:Предприятие 8 ПРОФ. Клиентская лицензия на 10 рабочих мест (программная защита)</t>
  </si>
  <si>
    <t>1С:Предприятие 8 ПРОФ. Клиентская лицензия на 20 рабочих мест (программная защита)</t>
  </si>
  <si>
    <t>1С:Предприятие 8 ПРОФ. Клиентская лицензия на 50 рабочих мест (программная защита)</t>
  </si>
  <si>
    <t>1С:Предприятие 8 ПРОФ. Клиентская лицензия на 100 рабочих мест (программная защита)</t>
  </si>
  <si>
    <t>1С:Предприятие 8 ПРОФ. Клиентская лицензия на 300 рабочих мест (программная защита)</t>
  </si>
  <si>
    <t>1С:Предприятие 8 ПРОФ. Клиентская лицензия на 500 рабочих мест (программная защита)</t>
  </si>
  <si>
    <t>1С-Рейтинг: Общепит для Казахстана. Кл. лицензия на 1 р.м.</t>
  </si>
  <si>
    <t>1С-Рейтинг: Общепит для Казахстана. Кл. лицензия на 5 р.м.</t>
  </si>
  <si>
    <t>1С-Рейтинг: Общепит для Казахстана. Кл. лицензия на 10 р.м.</t>
  </si>
  <si>
    <t>программная</t>
  </si>
  <si>
    <t>1С:Предприятие 8.3 Лицензия на сервер</t>
  </si>
  <si>
    <t>1С:Предприятие 8.3 Лицензия на сервер(x86-64)</t>
  </si>
  <si>
    <t>1С:Предприятие 8.3. Сервер МИНИ на 5 подключений</t>
  </si>
  <si>
    <t>1С:Предприятие 8 ПРОФ. Клиентская лицензия на 1 р.м. (USB)</t>
  </si>
  <si>
    <t>1С:Предприятие 8 ПРОФ. Клиентская лицензия на 5 р.м. (USB)</t>
  </si>
  <si>
    <t>1С:Предприятие 8 ПРОФ. Клиентская лицензия на 10 р.м. (USB)</t>
  </si>
  <si>
    <t>1С:Предприятие 8 ПРОФ. Клиентская лицензия на 20 р.м. (USB)</t>
  </si>
  <si>
    <t>1С:Предприятие 8 ПРОФ. Клиентская лицензия на 50 р.м. (USB)</t>
  </si>
  <si>
    <t>1С:Предприятие 8 ПРОФ. Клиентская лицензия на 100 р.м. (USB)</t>
  </si>
  <si>
    <t>1С:Предприятие 8 ПРОФ. Клиентская лицензия на 300 р.м. (USB)</t>
  </si>
  <si>
    <t>1С:Предприятие 8 ПРОФ. Клиентская лицензия на 500 р.м. (USB)</t>
  </si>
  <si>
    <t>1С:Предприятие 8. Расширение для карманных компьютеров. Дополнительная лицензия на 1 рабочее место</t>
  </si>
  <si>
    <t>1С-Рейтинг: Общепит для Казахстана. Доп. лицензия на 1 р.м. (USB)</t>
  </si>
  <si>
    <t>1С-Рейтинг: Общепит для Казахстана. Доп. лицензия на 5 р.м. (USB)</t>
  </si>
  <si>
    <t>1С-Рейтинг: Общепит для Казахстана. Доп. лицензия на 10 р.м. (USB)</t>
  </si>
  <si>
    <t>1С:Предприятие 8. Отель. Дополнительная лицензия на 1 рабочее место</t>
  </si>
  <si>
    <t>1С:Предприятие 8. Отель. Дополнительная лицензия на 5 рабочих мест</t>
  </si>
  <si>
    <t>1С:Предприятие 8. Отель. Дополнительная лицензия на 10 рабочих мест</t>
  </si>
  <si>
    <t>1С:Предприятие 8. Отель. Дополнительная лицензия на 20 рабочих мест</t>
  </si>
  <si>
    <t>1С:Предприятие 8. Отель. Дополнительная лицензия на 50 рабочих мест</t>
  </si>
  <si>
    <t>1С:Предприятие 8. Отель. Дополнительная лицензия на 100 рабочих мест</t>
  </si>
  <si>
    <t>1С:Предприятие 8.3 ПРОФ. Лицензия на сервер (USB)</t>
  </si>
  <si>
    <t>1С:Предприятие 8.3 ПРОФ. Лицензия на сервер (x86-64) (USB)</t>
  </si>
  <si>
    <t>Лицензия на сервер MS SQL Server Standard 2016 Runtime для пользователей 1С:Предприятие 8 для Казахстана</t>
  </si>
  <si>
    <t>Клиентский доступ на 1 рабочее место к MS SQL Server 2016 Runtime для 1С:Предприятие 8 для Казахстана</t>
  </si>
  <si>
    <t>Клиентский доступ на 5 рабочих мест к MS SQL Server 2016 Runtime для 1С:Предприятие 8 для Казахстана</t>
  </si>
  <si>
    <t>Клиентский доступ на 10 рабочих мест к MS SQL Server 2016 Runtime для 1С:Предприятие 8 для Казахстана</t>
  </si>
  <si>
    <t>Клиентский доступ на 20 рабочих мест к MS SQL Server 2016 Runtime для 1С:Предприятие 8 для Казахстана</t>
  </si>
  <si>
    <t>Клиентский доступ на 50 рабочих мест к MS SQL Server 2016 Runtime для 1С:Предприятие 8 для Казахстана</t>
  </si>
  <si>
    <t>Клиентский доступ на 100 рабочих мест к MS SQL Server 2016 Runtime для 1С:Предприятие 8 для Казахстана</t>
  </si>
  <si>
    <t>Лицензия на сервер MS SQL Server Standard 2016 Full-use для пользователей 1С:Предприятие 8 для Казахстана</t>
  </si>
  <si>
    <t>Клиентский доступ на 1 рабочее место к MS SQL Server 2016 Full-use для 1С:Предприятие 8 для Казахстана</t>
  </si>
  <si>
    <t>Клиентский доступ на 5 рабочих мест к MS SQL Server 2016 Full-use для 1С:Предприятие 8 для Казахстана</t>
  </si>
  <si>
    <t>Клиентский доступ на 10 рабочих мест к MS SQL Server 2016 Full-use для 1С:Предприятие 8 для Казахстана</t>
  </si>
  <si>
    <t>Клиентский доступ на 20 рабочих мест к MS SQL Server 2016 Full-use для 1С:Предприятие 8 для Казахстана</t>
  </si>
  <si>
    <t>Клиентский доступ на 50 рабочих мест к MS SQL Server 2016 Full-use для 1С:Предприятие 8 для Казахстана</t>
  </si>
  <si>
    <t>Клиентский доступ на 100 рабочих мест к MS SQL Server 2016 Full-use для 1С:Предприятие 8 для Казахстана</t>
  </si>
  <si>
    <t>Лицензия "на ядро" MS SQL Svr Std Full-use Core 2016 (4 ядра) для пользователей 1С:Предприятие 8 для Казахстана</t>
  </si>
  <si>
    <t>Доп. лицензия "на ядро" MS SQL Svr Std Full-use Core 2016 (2 ядра) для пользователей 1С:Предприятие 8 для Казахстана</t>
  </si>
  <si>
    <t>Лицензия "на ядро" MS SQL Svr Ent Full-use Core 2016 ( 4 ядра) для пользователей 1С:Предприятие 8 для Казахстана</t>
  </si>
  <si>
    <t>Доп. лицензия "на ядро" MS SQL Svr Ent Full-use Core 2016 (2 ядра) для пользователей 1С:Предприятие 8 для Казахстана</t>
  </si>
  <si>
    <t>Лицензия на сервер MS SQL Server Standard 2014 Runtime для пользователей 1С:Предприятие 8</t>
  </si>
  <si>
    <t>Клиентский доступ на 1 рабочее место к MS SQL Server 2014 Runtime для 1С:Предприятие 8</t>
  </si>
  <si>
    <t>Клиентский доступ на 5 рабочих мест к MS SQL Server 2014 Runtime для 1С:Предприятие 8</t>
  </si>
  <si>
    <t>Клиентский доступ на 10 рабочих мест к MS SQL Server 2014 Runtime для 1С:Предприятие 8</t>
  </si>
  <si>
    <t>Клиентский доступ на 20 рабочих мест к MS SQL Server 2014 Runtime для 1С:Предприятие 8</t>
  </si>
  <si>
    <t>Клиентский доступ на 50 рабочих мест к MS SQL Server 2014 Runtime для 1С:Предприятие 8</t>
  </si>
  <si>
    <t>Клиентский доступ на 100 рабочих мест к MS SQL Server 2014 Runtime для 1С:Предприятие 8</t>
  </si>
  <si>
    <t>Лицензия на сервер MS SQL Server Standard 2014 Full-use для пользователей 1С:Предприятие 8</t>
  </si>
  <si>
    <t>Клиентский доступ на 1 рабочее место к MS SQL Server 2014 Full-use для 1С:Предприятие 8</t>
  </si>
  <si>
    <t>Клиентский доступ на 5 рабочих мест к MS SQL Server 2014 Full-use для 1С:Предприятие 8</t>
  </si>
  <si>
    <t>Клиентский доступ на 10 рабочих мест к MS SQL Server 2014 Full-use для 1С:Предприятие 8</t>
  </si>
  <si>
    <t>Клиентский доступ на 20 рабочих мест к MS SQL Server 2014 Full-use для 1С:Предприятие 8</t>
  </si>
  <si>
    <t>Клиентский доступ на 50 рабочих мест к MS SQL Server 2014 Full-use для 1С:Предприятие 8</t>
  </si>
  <si>
    <t>Клиентский доступ на 100 рабочих мест к MS SQL Server 2014 Full-use для 1С:Предприятие 8</t>
  </si>
  <si>
    <t>Лицензия "на ядро" MS SQL Svr Std Full-use Core 2014 (до 4 ядер) для пользователей 1С:Предприятие 8</t>
  </si>
  <si>
    <t>Доп. лицензия "на ядро" MS SQL Svr Std Full-use Core 2014 (на 2 ядра) для пользователей 1С:Предприятие 8</t>
  </si>
  <si>
    <t>Лицензия "на ядро" MS SQL Svr Ent Full-use Core 2014 (до 4 ядер) для пользователей 1С:Предприятие 8</t>
  </si>
  <si>
    <t>Доп. лицензия "на ядро" MS SQL Svr Ent Full-use Core 2014 (на 2 ядра) для пользователей 1С:Предприятие 8</t>
  </si>
  <si>
    <t>серверная</t>
  </si>
  <si>
    <t>клиентская</t>
  </si>
  <si>
    <t>на ядро</t>
  </si>
  <si>
    <t>неограниченно</t>
  </si>
  <si>
    <t>Прайс-лист: от 16.04.2020 г. Цена строгая</t>
  </si>
  <si>
    <t>ИТС Казахстан ТЕХНО на 12 месяцев</t>
  </si>
  <si>
    <t>ИТС Казахстан ТЕХНО на 6 месяцев</t>
  </si>
  <si>
    <t>подписка 12 месяцев</t>
  </si>
  <si>
    <t>подписка 6 месяцев</t>
  </si>
  <si>
    <t>ИТС Казахстан апгрейд с ТЕХНО на ПРОФ, доплата за 1 месяц</t>
  </si>
  <si>
    <t>ИТС Казахстан апгрейд с ТЕХНО на ПРОФ, доплата за 2 месяца</t>
  </si>
  <si>
    <t>ИТС Казахстан апгрейд с ТЕХНО на ПРОФ, доплата за 3 месяца</t>
  </si>
  <si>
    <t>ИТС Казахстан апгрейд с ТЕХНО на ПРОФ, доплата за 4 месяца</t>
  </si>
  <si>
    <t>ИТС Казахстан апгрейд с ТЕХНО на ПРОФ, доплата за 5 месяцев</t>
  </si>
  <si>
    <t>ИТС Казахстан апгрейд с ТЕХНО на ПРОФ, доплата за 6 месяцев</t>
  </si>
  <si>
    <t>ИТС Казахстан апгрейд с ТЕХНО на ПРОФ, доплата за 7 месяцев</t>
  </si>
  <si>
    <t>ИТС Казахстан апгрейд с ТЕХНО на ПРОФ, доплата за 8 месяцев</t>
  </si>
  <si>
    <t>ИТС Казахстан апгрейд с ТЕХНО на ПРОФ, доплата за 9 месяцев</t>
  </si>
  <si>
    <t>ИТС Казахстан апгрейд с ТЕХНО на ПРОФ, доплата за 10 месяцев</t>
  </si>
  <si>
    <t>ИТС Казахстан апгрейд с ТЕХНО на ПРОФ, доплата за 11 месяцев</t>
  </si>
  <si>
    <t>подписка 2 месяца</t>
  </si>
  <si>
    <t>подписка 3 месяца</t>
  </si>
  <si>
    <t>подписка 4 месяца</t>
  </si>
  <si>
    <t>подписка 5 месяцев</t>
  </si>
  <si>
    <t>подписка 7 месяцев</t>
  </si>
  <si>
    <t>подписка 8 месяцев</t>
  </si>
  <si>
    <t>подписка 9 месяцев</t>
  </si>
  <si>
    <t>подписка 10 месяцев</t>
  </si>
  <si>
    <t>подписка 11 месяцев</t>
  </si>
  <si>
    <t>ИТС Казахстан ПРОФ на 12 месяцев</t>
  </si>
  <si>
    <t>ИТС Казахстан ПРОФ на 6 месяцев</t>
  </si>
  <si>
    <t>ИТС Казахстан ПРОФ на 3 месяца</t>
  </si>
  <si>
    <t>ИТС Казахстан ПРОФ на 1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</si>
</sst>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00000"/>
    <numFmt numFmtId="166" formatCode="_-* #,##0_-;\-* #,##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sz val="8"/>
      <color rgb="FF000000"/>
      <name val="MS Sans Serif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Segoe UI"/>
      <family val="2"/>
      <charset val="204"/>
    </font>
    <font>
      <u/>
      <sz val="10"/>
      <color theme="10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1"/>
      <name val="Calibri"/>
      <family val="2"/>
      <charset val="204"/>
    </font>
    <font>
      <b/>
      <sz val="12"/>
      <name val="Segoe UI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b/>
      <sz val="40"/>
      <color rgb="FFFF0000"/>
      <name val="Calibri"/>
      <family val="2"/>
      <charset val="204"/>
      <scheme val="minor"/>
    </font>
    <font>
      <b/>
      <u/>
      <sz val="20"/>
      <color rgb="FFFF0000"/>
      <name val="Arial Cyr"/>
      <charset val="204"/>
    </font>
    <font>
      <b/>
      <sz val="16"/>
      <name val="Calibri"/>
      <family val="2"/>
      <charset val="204"/>
    </font>
    <font>
      <sz val="10"/>
      <name val="Arial Black"/>
      <family val="2"/>
      <charset val="204"/>
    </font>
    <font>
      <b/>
      <sz val="18"/>
      <color theme="1" tint="4.9989318521683403E-2"/>
      <name val="Arial Black"/>
      <family val="2"/>
      <charset val="204"/>
    </font>
    <font>
      <b/>
      <sz val="17.5"/>
      <color indexed="10"/>
      <name val="Arial Cyr"/>
      <charset val="204"/>
    </font>
    <font>
      <sz val="14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b/>
      <u/>
      <sz val="12"/>
      <color rgb="FF0070C0"/>
      <name val="Arial"/>
      <family val="2"/>
      <charset val="204"/>
    </font>
    <font>
      <sz val="14"/>
      <color indexed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2"/>
      <color rgb="FF0070C0"/>
      <name val="Arial Cyr"/>
      <charset val="204"/>
    </font>
    <font>
      <b/>
      <sz val="12"/>
      <name val="Times New Roman"/>
      <family val="1"/>
      <charset val="204"/>
    </font>
    <font>
      <sz val="10"/>
      <color theme="0"/>
      <name val="Arial Cyr"/>
      <charset val="204"/>
    </font>
    <font>
      <b/>
      <sz val="14"/>
      <color rgb="FFFF0000"/>
      <name val="Calibri"/>
      <family val="2"/>
      <charset val="204"/>
    </font>
    <font>
      <sz val="12"/>
      <name val="Times New Roman"/>
      <family val="1"/>
      <charset val="204"/>
    </font>
    <font>
      <b/>
      <u/>
      <sz val="18"/>
      <color theme="10"/>
      <name val="Arial Cyr"/>
      <charset val="204"/>
    </font>
    <font>
      <b/>
      <u/>
      <sz val="16"/>
      <color rgb="FF0070C0"/>
      <name val="Arial"/>
      <family val="2"/>
      <charset val="204"/>
    </font>
    <font>
      <sz val="8"/>
      <color rgb="FF66FFFF"/>
      <name val="MS Sans Serif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33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wrapText="1"/>
    </xf>
    <xf numFmtId="0" fontId="4" fillId="2" borderId="0" xfId="2" applyFont="1" applyFill="1" applyBorder="1"/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/>
    <xf numFmtId="0" fontId="6" fillId="2" borderId="0" xfId="2" applyFont="1" applyFill="1" applyBorder="1"/>
    <xf numFmtId="0" fontId="3" fillId="2" borderId="0" xfId="2" applyFont="1" applyFill="1" applyBorder="1" applyAlignment="1">
      <alignment vertical="center"/>
    </xf>
    <xf numFmtId="0" fontId="3" fillId="2" borderId="0" xfId="2" applyFill="1"/>
    <xf numFmtId="0" fontId="7" fillId="2" borderId="0" xfId="2" applyFont="1" applyFill="1" applyBorder="1"/>
    <xf numFmtId="0" fontId="8" fillId="2" borderId="0" xfId="2" applyFont="1" applyFill="1"/>
    <xf numFmtId="0" fontId="9" fillId="2" borderId="0" xfId="2" applyFont="1" applyFill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0" fontId="4" fillId="2" borderId="0" xfId="5" applyFont="1" applyFill="1" applyAlignment="1">
      <alignment horizontal="left" vertical="center" wrapText="1"/>
    </xf>
    <xf numFmtId="0" fontId="9" fillId="3" borderId="0" xfId="2" applyFont="1" applyFill="1" applyAlignment="1">
      <alignment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5" applyFont="1" applyFill="1" applyAlignment="1">
      <alignment horizontal="left" vertical="center" wrapText="1"/>
    </xf>
    <xf numFmtId="0" fontId="11" fillId="3" borderId="0" xfId="2" applyFont="1" applyFill="1" applyAlignment="1">
      <alignment vertical="center" wrapText="1"/>
    </xf>
    <xf numFmtId="0" fontId="5" fillId="2" borderId="0" xfId="3" applyFill="1" applyBorder="1" applyAlignment="1" applyProtection="1">
      <alignment horizontal="left" vertical="center"/>
    </xf>
    <xf numFmtId="0" fontId="5" fillId="0" borderId="0" xfId="3" applyAlignment="1" applyProtection="1"/>
    <xf numFmtId="0" fontId="5" fillId="0" borderId="0" xfId="3" applyAlignment="1" applyProtection="1">
      <alignment vertical="center"/>
    </xf>
    <xf numFmtId="0" fontId="3" fillId="2" borderId="0" xfId="2" applyFont="1" applyFill="1" applyBorder="1" applyAlignment="1">
      <alignment horizontal="left" vertical="center"/>
    </xf>
    <xf numFmtId="0" fontId="8" fillId="2" borderId="0" xfId="2" applyFont="1" applyFill="1" applyAlignment="1">
      <alignment wrapText="1"/>
    </xf>
    <xf numFmtId="0" fontId="12" fillId="4" borderId="0" xfId="4" applyFont="1" applyFill="1" applyBorder="1" applyAlignment="1">
      <alignment horizontal="center" vertical="top"/>
    </xf>
    <xf numFmtId="0" fontId="13" fillId="2" borderId="0" xfId="3" applyFont="1" applyFill="1" applyBorder="1" applyAlignment="1" applyProtection="1"/>
    <xf numFmtId="0" fontId="14" fillId="2" borderId="0" xfId="2" applyFont="1" applyFill="1"/>
    <xf numFmtId="0" fontId="15" fillId="2" borderId="0" xfId="2" applyFont="1" applyFill="1" applyBorder="1"/>
    <xf numFmtId="0" fontId="16" fillId="2" borderId="0" xfId="5" applyFont="1" applyFill="1" applyBorder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/>
    <xf numFmtId="0" fontId="19" fillId="2" borderId="0" xfId="5" applyFont="1" applyFill="1" applyBorder="1"/>
    <xf numFmtId="0" fontId="20" fillId="2" borderId="0" xfId="3" applyFont="1" applyFill="1" applyBorder="1" applyAlignment="1" applyProtection="1">
      <protection locked="0" hidden="1"/>
    </xf>
    <xf numFmtId="0" fontId="20" fillId="2" borderId="0" xfId="3" applyFont="1" applyFill="1" applyBorder="1" applyAlignment="1" applyProtection="1"/>
    <xf numFmtId="0" fontId="18" fillId="2" borderId="0" xfId="2" applyFont="1" applyFill="1" applyBorder="1" applyAlignment="1">
      <alignment vertical="center"/>
    </xf>
    <xf numFmtId="0" fontId="18" fillId="2" borderId="0" xfId="2" applyFont="1" applyFill="1" applyBorder="1" applyAlignment="1">
      <alignment horizontal="center" vertical="center" wrapText="1" shrinkToFit="1"/>
    </xf>
    <xf numFmtId="0" fontId="18" fillId="2" borderId="0" xfId="2" applyNumberFormat="1" applyFont="1" applyFill="1" applyBorder="1" applyAlignment="1">
      <alignment horizontal="left" vertical="top" wrapText="1"/>
    </xf>
    <xf numFmtId="0" fontId="21" fillId="2" borderId="0" xfId="2" applyFont="1" applyFill="1" applyBorder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0" xfId="2" applyFont="1" applyFill="1" applyBorder="1" applyAlignment="1"/>
    <xf numFmtId="0" fontId="3" fillId="2" borderId="0" xfId="5" applyFont="1" applyFill="1" applyBorder="1"/>
    <xf numFmtId="0" fontId="21" fillId="2" borderId="0" xfId="2" applyFont="1" applyFill="1"/>
    <xf numFmtId="0" fontId="18" fillId="2" borderId="0" xfId="5" applyFont="1" applyFill="1" applyBorder="1" applyAlignment="1">
      <alignment horizontal="center"/>
    </xf>
    <xf numFmtId="0" fontId="22" fillId="2" borderId="0" xfId="3" applyFont="1" applyFill="1" applyBorder="1" applyAlignment="1" applyProtection="1"/>
    <xf numFmtId="0" fontId="24" fillId="2" borderId="0" xfId="3" applyFont="1" applyFill="1" applyBorder="1" applyAlignment="1" applyProtection="1"/>
    <xf numFmtId="0" fontId="20" fillId="0" borderId="0" xfId="3" applyFont="1" applyAlignment="1" applyProtection="1"/>
    <xf numFmtId="0" fontId="26" fillId="2" borderId="0" xfId="2" applyFont="1" applyFill="1" applyBorder="1"/>
    <xf numFmtId="0" fontId="25" fillId="2" borderId="0" xfId="2" applyFont="1" applyFill="1"/>
    <xf numFmtId="0" fontId="27" fillId="2" borderId="0" xfId="2" applyFont="1" applyFill="1"/>
    <xf numFmtId="0" fontId="5" fillId="2" borderId="0" xfId="3" applyFill="1" applyAlignment="1" applyProtection="1"/>
    <xf numFmtId="0" fontId="5" fillId="2" borderId="0" xfId="3" applyFill="1" applyBorder="1" applyAlignment="1" applyProtection="1">
      <alignment vertical="center"/>
    </xf>
    <xf numFmtId="0" fontId="0" fillId="0" borderId="0" xfId="0" applyFill="1"/>
    <xf numFmtId="166" fontId="1" fillId="0" borderId="0" xfId="1" applyNumberFormat="1" applyFont="1"/>
    <xf numFmtId="166" fontId="1" fillId="0" borderId="1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right"/>
    </xf>
    <xf numFmtId="166" fontId="0" fillId="0" borderId="0" xfId="1" applyNumberFormat="1" applyFont="1"/>
    <xf numFmtId="0" fontId="30" fillId="2" borderId="0" xfId="3" applyFont="1" applyFill="1" applyBorder="1" applyAlignment="1" applyProtection="1">
      <protection locked="0" hidden="1"/>
    </xf>
    <xf numFmtId="166" fontId="0" fillId="0" borderId="0" xfId="0" applyNumberFormat="1"/>
    <xf numFmtId="165" fontId="31" fillId="5" borderId="2" xfId="0" applyNumberFormat="1" applyFont="1" applyFill="1" applyBorder="1"/>
    <xf numFmtId="0" fontId="25" fillId="2" borderId="0" xfId="2" applyFont="1" applyFill="1" applyAlignment="1">
      <alignment wrapText="1"/>
    </xf>
    <xf numFmtId="0" fontId="8" fillId="2" borderId="0" xfId="2" applyFont="1" applyFill="1" applyAlignment="1">
      <alignment wrapText="1"/>
    </xf>
    <xf numFmtId="0" fontId="5" fillId="2" borderId="0" xfId="3" applyFill="1" applyAlignment="1" applyProtection="1">
      <alignment wrapText="1"/>
    </xf>
    <xf numFmtId="0" fontId="5" fillId="2" borderId="0" xfId="3" applyFill="1" applyBorder="1" applyAlignment="1" applyProtection="1">
      <alignment horizontal="center" vertical="top"/>
    </xf>
    <xf numFmtId="0" fontId="5" fillId="2" borderId="0" xfId="3" applyFill="1" applyBorder="1" applyAlignment="1" applyProtection="1">
      <alignment horizontal="center" vertical="center"/>
    </xf>
    <xf numFmtId="0" fontId="5" fillId="2" borderId="0" xfId="3" applyFill="1" applyBorder="1" applyAlignment="1" applyProtection="1">
      <alignment horizontal="left" vertical="top"/>
    </xf>
    <xf numFmtId="0" fontId="23" fillId="2" borderId="0" xfId="2" applyFont="1" applyFill="1" applyAlignment="1">
      <alignment wrapText="1"/>
    </xf>
    <xf numFmtId="0" fontId="8" fillId="2" borderId="0" xfId="2" applyFont="1" applyFill="1" applyAlignment="1">
      <alignment vertical="top" wrapText="1"/>
    </xf>
    <xf numFmtId="0" fontId="27" fillId="2" borderId="0" xfId="2" applyFont="1" applyFill="1" applyAlignment="1">
      <alignment wrapText="1"/>
    </xf>
    <xf numFmtId="0" fontId="28" fillId="2" borderId="0" xfId="2" applyFont="1" applyFill="1" applyAlignment="1">
      <alignment wrapText="1"/>
    </xf>
    <xf numFmtId="0" fontId="29" fillId="0" borderId="0" xfId="3" applyFont="1" applyFill="1" applyAlignment="1" applyProtection="1">
      <alignment horizontal="center"/>
    </xf>
    <xf numFmtId="165" fontId="31" fillId="5" borderId="2" xfId="0" applyNumberFormat="1" applyFont="1" applyFill="1" applyBorder="1"/>
    <xf numFmtId="0" fontId="29" fillId="0" borderId="0" xfId="3" applyFont="1" applyAlignment="1" applyProtection="1">
      <alignment horizontal="center"/>
    </xf>
    <xf numFmtId="165" fontId="1" fillId="0" borderId="1" xfId="0" applyNumberFormat="1" applyFont="1" applyFill="1" applyBorder="1" applyAlignment="1">
      <alignment horizontal="center"/>
    </xf>
  </cellXfs>
  <cellStyles count="6">
    <cellStyle name="Гиперссылка" xfId="3" builtinId="8"/>
    <cellStyle name="Обычный" xfId="0" builtinId="0"/>
    <cellStyle name="Обычный 2" xfId="2"/>
    <cellStyle name="Обычный 2 2" xfId="4"/>
    <cellStyle name="Обычный 3 2" xfId="5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CCFFFF"/>
      <color rgb="FF9933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282579</xdr:colOff>
      <xdr:row>1</xdr:row>
      <xdr:rowOff>45720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0"/>
          <a:ext cx="2073279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nk@softmix.k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fo@softmix.kz" TargetMode="External"/><Relationship Id="rId1" Type="http://schemas.openxmlformats.org/officeDocument/2006/relationships/hyperlink" Target="mailto:dp@softmix.kz" TargetMode="External"/><Relationship Id="rId6" Type="http://schemas.openxmlformats.org/officeDocument/2006/relationships/hyperlink" Target="http://www.softmix.kz/" TargetMode="External"/><Relationship Id="rId5" Type="http://schemas.openxmlformats.org/officeDocument/2006/relationships/hyperlink" Target="mailto:info@softmix.kz" TargetMode="External"/><Relationship Id="rId4" Type="http://schemas.openxmlformats.org/officeDocument/2006/relationships/hyperlink" Target="mailto:dd@softmix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sd.comportal.kz/Home/Catalo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62"/>
  <sheetViews>
    <sheetView tabSelected="1" showRuler="0" zoomScaleNormal="100" workbookViewId="0">
      <selection activeCell="D1" sqref="D1"/>
    </sheetView>
  </sheetViews>
  <sheetFormatPr defaultRowHeight="13.2" x14ac:dyDescent="0.25"/>
  <cols>
    <col min="1" max="1" width="7.44140625" style="9" customWidth="1"/>
    <col min="2" max="2" width="26.109375" style="9" customWidth="1"/>
    <col min="3" max="3" width="24" style="9" customWidth="1"/>
    <col min="4" max="4" width="28.33203125" style="9" customWidth="1"/>
    <col min="5" max="5" width="27.109375" style="11" customWidth="1"/>
    <col min="6" max="6" width="23.77734375" style="9" customWidth="1"/>
    <col min="7" max="7" width="26.109375" style="9" customWidth="1"/>
    <col min="8" max="8" width="33.6640625" style="9" customWidth="1"/>
    <col min="9" max="256" width="9.109375" style="9"/>
    <col min="257" max="257" width="7.44140625" style="9" customWidth="1"/>
    <col min="258" max="258" width="26.109375" style="9" customWidth="1"/>
    <col min="259" max="259" width="22.44140625" style="9" customWidth="1"/>
    <col min="260" max="260" width="26.33203125" style="9" customWidth="1"/>
    <col min="261" max="261" width="27.109375" style="9" customWidth="1"/>
    <col min="262" max="263" width="26.109375" style="9" customWidth="1"/>
    <col min="264" max="264" width="33.6640625" style="9" customWidth="1"/>
    <col min="265" max="512" width="9.109375" style="9"/>
    <col min="513" max="513" width="7.44140625" style="9" customWidth="1"/>
    <col min="514" max="514" width="26.109375" style="9" customWidth="1"/>
    <col min="515" max="515" width="22.44140625" style="9" customWidth="1"/>
    <col min="516" max="516" width="26.33203125" style="9" customWidth="1"/>
    <col min="517" max="517" width="27.109375" style="9" customWidth="1"/>
    <col min="518" max="519" width="26.109375" style="9" customWidth="1"/>
    <col min="520" max="520" width="33.6640625" style="9" customWidth="1"/>
    <col min="521" max="768" width="9.109375" style="9"/>
    <col min="769" max="769" width="7.44140625" style="9" customWidth="1"/>
    <col min="770" max="770" width="26.109375" style="9" customWidth="1"/>
    <col min="771" max="771" width="22.44140625" style="9" customWidth="1"/>
    <col min="772" max="772" width="26.33203125" style="9" customWidth="1"/>
    <col min="773" max="773" width="27.109375" style="9" customWidth="1"/>
    <col min="774" max="775" width="26.109375" style="9" customWidth="1"/>
    <col min="776" max="776" width="33.6640625" style="9" customWidth="1"/>
    <col min="777" max="1024" width="9.109375" style="9"/>
    <col min="1025" max="1025" width="7.44140625" style="9" customWidth="1"/>
    <col min="1026" max="1026" width="26.109375" style="9" customWidth="1"/>
    <col min="1027" max="1027" width="22.44140625" style="9" customWidth="1"/>
    <col min="1028" max="1028" width="26.33203125" style="9" customWidth="1"/>
    <col min="1029" max="1029" width="27.109375" style="9" customWidth="1"/>
    <col min="1030" max="1031" width="26.109375" style="9" customWidth="1"/>
    <col min="1032" max="1032" width="33.6640625" style="9" customWidth="1"/>
    <col min="1033" max="1280" width="9.109375" style="9"/>
    <col min="1281" max="1281" width="7.44140625" style="9" customWidth="1"/>
    <col min="1282" max="1282" width="26.109375" style="9" customWidth="1"/>
    <col min="1283" max="1283" width="22.44140625" style="9" customWidth="1"/>
    <col min="1284" max="1284" width="26.33203125" style="9" customWidth="1"/>
    <col min="1285" max="1285" width="27.109375" style="9" customWidth="1"/>
    <col min="1286" max="1287" width="26.109375" style="9" customWidth="1"/>
    <col min="1288" max="1288" width="33.6640625" style="9" customWidth="1"/>
    <col min="1289" max="1536" width="9.109375" style="9"/>
    <col min="1537" max="1537" width="7.44140625" style="9" customWidth="1"/>
    <col min="1538" max="1538" width="26.109375" style="9" customWidth="1"/>
    <col min="1539" max="1539" width="22.44140625" style="9" customWidth="1"/>
    <col min="1540" max="1540" width="26.33203125" style="9" customWidth="1"/>
    <col min="1541" max="1541" width="27.109375" style="9" customWidth="1"/>
    <col min="1542" max="1543" width="26.109375" style="9" customWidth="1"/>
    <col min="1544" max="1544" width="33.6640625" style="9" customWidth="1"/>
    <col min="1545" max="1792" width="9.109375" style="9"/>
    <col min="1793" max="1793" width="7.44140625" style="9" customWidth="1"/>
    <col min="1794" max="1794" width="26.109375" style="9" customWidth="1"/>
    <col min="1795" max="1795" width="22.44140625" style="9" customWidth="1"/>
    <col min="1796" max="1796" width="26.33203125" style="9" customWidth="1"/>
    <col min="1797" max="1797" width="27.109375" style="9" customWidth="1"/>
    <col min="1798" max="1799" width="26.109375" style="9" customWidth="1"/>
    <col min="1800" max="1800" width="33.6640625" style="9" customWidth="1"/>
    <col min="1801" max="2048" width="9.109375" style="9"/>
    <col min="2049" max="2049" width="7.44140625" style="9" customWidth="1"/>
    <col min="2050" max="2050" width="26.109375" style="9" customWidth="1"/>
    <col min="2051" max="2051" width="22.44140625" style="9" customWidth="1"/>
    <col min="2052" max="2052" width="26.33203125" style="9" customWidth="1"/>
    <col min="2053" max="2053" width="27.109375" style="9" customWidth="1"/>
    <col min="2054" max="2055" width="26.109375" style="9" customWidth="1"/>
    <col min="2056" max="2056" width="33.6640625" style="9" customWidth="1"/>
    <col min="2057" max="2304" width="9.109375" style="9"/>
    <col min="2305" max="2305" width="7.44140625" style="9" customWidth="1"/>
    <col min="2306" max="2306" width="26.109375" style="9" customWidth="1"/>
    <col min="2307" max="2307" width="22.44140625" style="9" customWidth="1"/>
    <col min="2308" max="2308" width="26.33203125" style="9" customWidth="1"/>
    <col min="2309" max="2309" width="27.109375" style="9" customWidth="1"/>
    <col min="2310" max="2311" width="26.109375" style="9" customWidth="1"/>
    <col min="2312" max="2312" width="33.6640625" style="9" customWidth="1"/>
    <col min="2313" max="2560" width="9.109375" style="9"/>
    <col min="2561" max="2561" width="7.44140625" style="9" customWidth="1"/>
    <col min="2562" max="2562" width="26.109375" style="9" customWidth="1"/>
    <col min="2563" max="2563" width="22.44140625" style="9" customWidth="1"/>
    <col min="2564" max="2564" width="26.33203125" style="9" customWidth="1"/>
    <col min="2565" max="2565" width="27.109375" style="9" customWidth="1"/>
    <col min="2566" max="2567" width="26.109375" style="9" customWidth="1"/>
    <col min="2568" max="2568" width="33.6640625" style="9" customWidth="1"/>
    <col min="2569" max="2816" width="9.109375" style="9"/>
    <col min="2817" max="2817" width="7.44140625" style="9" customWidth="1"/>
    <col min="2818" max="2818" width="26.109375" style="9" customWidth="1"/>
    <col min="2819" max="2819" width="22.44140625" style="9" customWidth="1"/>
    <col min="2820" max="2820" width="26.33203125" style="9" customWidth="1"/>
    <col min="2821" max="2821" width="27.109375" style="9" customWidth="1"/>
    <col min="2822" max="2823" width="26.109375" style="9" customWidth="1"/>
    <col min="2824" max="2824" width="33.6640625" style="9" customWidth="1"/>
    <col min="2825" max="3072" width="9.109375" style="9"/>
    <col min="3073" max="3073" width="7.44140625" style="9" customWidth="1"/>
    <col min="3074" max="3074" width="26.109375" style="9" customWidth="1"/>
    <col min="3075" max="3075" width="22.44140625" style="9" customWidth="1"/>
    <col min="3076" max="3076" width="26.33203125" style="9" customWidth="1"/>
    <col min="3077" max="3077" width="27.109375" style="9" customWidth="1"/>
    <col min="3078" max="3079" width="26.109375" style="9" customWidth="1"/>
    <col min="3080" max="3080" width="33.6640625" style="9" customWidth="1"/>
    <col min="3081" max="3328" width="9.109375" style="9"/>
    <col min="3329" max="3329" width="7.44140625" style="9" customWidth="1"/>
    <col min="3330" max="3330" width="26.109375" style="9" customWidth="1"/>
    <col min="3331" max="3331" width="22.44140625" style="9" customWidth="1"/>
    <col min="3332" max="3332" width="26.33203125" style="9" customWidth="1"/>
    <col min="3333" max="3333" width="27.109375" style="9" customWidth="1"/>
    <col min="3334" max="3335" width="26.109375" style="9" customWidth="1"/>
    <col min="3336" max="3336" width="33.6640625" style="9" customWidth="1"/>
    <col min="3337" max="3584" width="9.109375" style="9"/>
    <col min="3585" max="3585" width="7.44140625" style="9" customWidth="1"/>
    <col min="3586" max="3586" width="26.109375" style="9" customWidth="1"/>
    <col min="3587" max="3587" width="22.44140625" style="9" customWidth="1"/>
    <col min="3588" max="3588" width="26.33203125" style="9" customWidth="1"/>
    <col min="3589" max="3589" width="27.109375" style="9" customWidth="1"/>
    <col min="3590" max="3591" width="26.109375" style="9" customWidth="1"/>
    <col min="3592" max="3592" width="33.6640625" style="9" customWidth="1"/>
    <col min="3593" max="3840" width="9.109375" style="9"/>
    <col min="3841" max="3841" width="7.44140625" style="9" customWidth="1"/>
    <col min="3842" max="3842" width="26.109375" style="9" customWidth="1"/>
    <col min="3843" max="3843" width="22.44140625" style="9" customWidth="1"/>
    <col min="3844" max="3844" width="26.33203125" style="9" customWidth="1"/>
    <col min="3845" max="3845" width="27.109375" style="9" customWidth="1"/>
    <col min="3846" max="3847" width="26.109375" style="9" customWidth="1"/>
    <col min="3848" max="3848" width="33.6640625" style="9" customWidth="1"/>
    <col min="3849" max="4096" width="9.109375" style="9"/>
    <col min="4097" max="4097" width="7.44140625" style="9" customWidth="1"/>
    <col min="4098" max="4098" width="26.109375" style="9" customWidth="1"/>
    <col min="4099" max="4099" width="22.44140625" style="9" customWidth="1"/>
    <col min="4100" max="4100" width="26.33203125" style="9" customWidth="1"/>
    <col min="4101" max="4101" width="27.109375" style="9" customWidth="1"/>
    <col min="4102" max="4103" width="26.109375" style="9" customWidth="1"/>
    <col min="4104" max="4104" width="33.6640625" style="9" customWidth="1"/>
    <col min="4105" max="4352" width="9.109375" style="9"/>
    <col min="4353" max="4353" width="7.44140625" style="9" customWidth="1"/>
    <col min="4354" max="4354" width="26.109375" style="9" customWidth="1"/>
    <col min="4355" max="4355" width="22.44140625" style="9" customWidth="1"/>
    <col min="4356" max="4356" width="26.33203125" style="9" customWidth="1"/>
    <col min="4357" max="4357" width="27.109375" style="9" customWidth="1"/>
    <col min="4358" max="4359" width="26.109375" style="9" customWidth="1"/>
    <col min="4360" max="4360" width="33.6640625" style="9" customWidth="1"/>
    <col min="4361" max="4608" width="9.109375" style="9"/>
    <col min="4609" max="4609" width="7.44140625" style="9" customWidth="1"/>
    <col min="4610" max="4610" width="26.109375" style="9" customWidth="1"/>
    <col min="4611" max="4611" width="22.44140625" style="9" customWidth="1"/>
    <col min="4612" max="4612" width="26.33203125" style="9" customWidth="1"/>
    <col min="4613" max="4613" width="27.109375" style="9" customWidth="1"/>
    <col min="4614" max="4615" width="26.109375" style="9" customWidth="1"/>
    <col min="4616" max="4616" width="33.6640625" style="9" customWidth="1"/>
    <col min="4617" max="4864" width="9.109375" style="9"/>
    <col min="4865" max="4865" width="7.44140625" style="9" customWidth="1"/>
    <col min="4866" max="4866" width="26.109375" style="9" customWidth="1"/>
    <col min="4867" max="4867" width="22.44140625" style="9" customWidth="1"/>
    <col min="4868" max="4868" width="26.33203125" style="9" customWidth="1"/>
    <col min="4869" max="4869" width="27.109375" style="9" customWidth="1"/>
    <col min="4870" max="4871" width="26.109375" style="9" customWidth="1"/>
    <col min="4872" max="4872" width="33.6640625" style="9" customWidth="1"/>
    <col min="4873" max="5120" width="9.109375" style="9"/>
    <col min="5121" max="5121" width="7.44140625" style="9" customWidth="1"/>
    <col min="5122" max="5122" width="26.109375" style="9" customWidth="1"/>
    <col min="5123" max="5123" width="22.44140625" style="9" customWidth="1"/>
    <col min="5124" max="5124" width="26.33203125" style="9" customWidth="1"/>
    <col min="5125" max="5125" width="27.109375" style="9" customWidth="1"/>
    <col min="5126" max="5127" width="26.109375" style="9" customWidth="1"/>
    <col min="5128" max="5128" width="33.6640625" style="9" customWidth="1"/>
    <col min="5129" max="5376" width="9.109375" style="9"/>
    <col min="5377" max="5377" width="7.44140625" style="9" customWidth="1"/>
    <col min="5378" max="5378" width="26.109375" style="9" customWidth="1"/>
    <col min="5379" max="5379" width="22.44140625" style="9" customWidth="1"/>
    <col min="5380" max="5380" width="26.33203125" style="9" customWidth="1"/>
    <col min="5381" max="5381" width="27.109375" style="9" customWidth="1"/>
    <col min="5382" max="5383" width="26.109375" style="9" customWidth="1"/>
    <col min="5384" max="5384" width="33.6640625" style="9" customWidth="1"/>
    <col min="5385" max="5632" width="9.109375" style="9"/>
    <col min="5633" max="5633" width="7.44140625" style="9" customWidth="1"/>
    <col min="5634" max="5634" width="26.109375" style="9" customWidth="1"/>
    <col min="5635" max="5635" width="22.44140625" style="9" customWidth="1"/>
    <col min="5636" max="5636" width="26.33203125" style="9" customWidth="1"/>
    <col min="5637" max="5637" width="27.109375" style="9" customWidth="1"/>
    <col min="5638" max="5639" width="26.109375" style="9" customWidth="1"/>
    <col min="5640" max="5640" width="33.6640625" style="9" customWidth="1"/>
    <col min="5641" max="5888" width="9.109375" style="9"/>
    <col min="5889" max="5889" width="7.44140625" style="9" customWidth="1"/>
    <col min="5890" max="5890" width="26.109375" style="9" customWidth="1"/>
    <col min="5891" max="5891" width="22.44140625" style="9" customWidth="1"/>
    <col min="5892" max="5892" width="26.33203125" style="9" customWidth="1"/>
    <col min="5893" max="5893" width="27.109375" style="9" customWidth="1"/>
    <col min="5894" max="5895" width="26.109375" style="9" customWidth="1"/>
    <col min="5896" max="5896" width="33.6640625" style="9" customWidth="1"/>
    <col min="5897" max="6144" width="9.109375" style="9"/>
    <col min="6145" max="6145" width="7.44140625" style="9" customWidth="1"/>
    <col min="6146" max="6146" width="26.109375" style="9" customWidth="1"/>
    <col min="6147" max="6147" width="22.44140625" style="9" customWidth="1"/>
    <col min="6148" max="6148" width="26.33203125" style="9" customWidth="1"/>
    <col min="6149" max="6149" width="27.109375" style="9" customWidth="1"/>
    <col min="6150" max="6151" width="26.109375" style="9" customWidth="1"/>
    <col min="6152" max="6152" width="33.6640625" style="9" customWidth="1"/>
    <col min="6153" max="6400" width="9.109375" style="9"/>
    <col min="6401" max="6401" width="7.44140625" style="9" customWidth="1"/>
    <col min="6402" max="6402" width="26.109375" style="9" customWidth="1"/>
    <col min="6403" max="6403" width="22.44140625" style="9" customWidth="1"/>
    <col min="6404" max="6404" width="26.33203125" style="9" customWidth="1"/>
    <col min="6405" max="6405" width="27.109375" style="9" customWidth="1"/>
    <col min="6406" max="6407" width="26.109375" style="9" customWidth="1"/>
    <col min="6408" max="6408" width="33.6640625" style="9" customWidth="1"/>
    <col min="6409" max="6656" width="9.109375" style="9"/>
    <col min="6657" max="6657" width="7.44140625" style="9" customWidth="1"/>
    <col min="6658" max="6658" width="26.109375" style="9" customWidth="1"/>
    <col min="6659" max="6659" width="22.44140625" style="9" customWidth="1"/>
    <col min="6660" max="6660" width="26.33203125" style="9" customWidth="1"/>
    <col min="6661" max="6661" width="27.109375" style="9" customWidth="1"/>
    <col min="6662" max="6663" width="26.109375" style="9" customWidth="1"/>
    <col min="6664" max="6664" width="33.6640625" style="9" customWidth="1"/>
    <col min="6665" max="6912" width="9.109375" style="9"/>
    <col min="6913" max="6913" width="7.44140625" style="9" customWidth="1"/>
    <col min="6914" max="6914" width="26.109375" style="9" customWidth="1"/>
    <col min="6915" max="6915" width="22.44140625" style="9" customWidth="1"/>
    <col min="6916" max="6916" width="26.33203125" style="9" customWidth="1"/>
    <col min="6917" max="6917" width="27.109375" style="9" customWidth="1"/>
    <col min="6918" max="6919" width="26.109375" style="9" customWidth="1"/>
    <col min="6920" max="6920" width="33.6640625" style="9" customWidth="1"/>
    <col min="6921" max="7168" width="9.109375" style="9"/>
    <col min="7169" max="7169" width="7.44140625" style="9" customWidth="1"/>
    <col min="7170" max="7170" width="26.109375" style="9" customWidth="1"/>
    <col min="7171" max="7171" width="22.44140625" style="9" customWidth="1"/>
    <col min="7172" max="7172" width="26.33203125" style="9" customWidth="1"/>
    <col min="7173" max="7173" width="27.109375" style="9" customWidth="1"/>
    <col min="7174" max="7175" width="26.109375" style="9" customWidth="1"/>
    <col min="7176" max="7176" width="33.6640625" style="9" customWidth="1"/>
    <col min="7177" max="7424" width="9.109375" style="9"/>
    <col min="7425" max="7425" width="7.44140625" style="9" customWidth="1"/>
    <col min="7426" max="7426" width="26.109375" style="9" customWidth="1"/>
    <col min="7427" max="7427" width="22.44140625" style="9" customWidth="1"/>
    <col min="7428" max="7428" width="26.33203125" style="9" customWidth="1"/>
    <col min="7429" max="7429" width="27.109375" style="9" customWidth="1"/>
    <col min="7430" max="7431" width="26.109375" style="9" customWidth="1"/>
    <col min="7432" max="7432" width="33.6640625" style="9" customWidth="1"/>
    <col min="7433" max="7680" width="9.109375" style="9"/>
    <col min="7681" max="7681" width="7.44140625" style="9" customWidth="1"/>
    <col min="7682" max="7682" width="26.109375" style="9" customWidth="1"/>
    <col min="7683" max="7683" width="22.44140625" style="9" customWidth="1"/>
    <col min="7684" max="7684" width="26.33203125" style="9" customWidth="1"/>
    <col min="7685" max="7685" width="27.109375" style="9" customWidth="1"/>
    <col min="7686" max="7687" width="26.109375" style="9" customWidth="1"/>
    <col min="7688" max="7688" width="33.6640625" style="9" customWidth="1"/>
    <col min="7689" max="7936" width="9.109375" style="9"/>
    <col min="7937" max="7937" width="7.44140625" style="9" customWidth="1"/>
    <col min="7938" max="7938" width="26.109375" style="9" customWidth="1"/>
    <col min="7939" max="7939" width="22.44140625" style="9" customWidth="1"/>
    <col min="7940" max="7940" width="26.33203125" style="9" customWidth="1"/>
    <col min="7941" max="7941" width="27.109375" style="9" customWidth="1"/>
    <col min="7942" max="7943" width="26.109375" style="9" customWidth="1"/>
    <col min="7944" max="7944" width="33.6640625" style="9" customWidth="1"/>
    <col min="7945" max="8192" width="9.109375" style="9"/>
    <col min="8193" max="8193" width="7.44140625" style="9" customWidth="1"/>
    <col min="8194" max="8194" width="26.109375" style="9" customWidth="1"/>
    <col min="8195" max="8195" width="22.44140625" style="9" customWidth="1"/>
    <col min="8196" max="8196" width="26.33203125" style="9" customWidth="1"/>
    <col min="8197" max="8197" width="27.109375" style="9" customWidth="1"/>
    <col min="8198" max="8199" width="26.109375" style="9" customWidth="1"/>
    <col min="8200" max="8200" width="33.6640625" style="9" customWidth="1"/>
    <col min="8201" max="8448" width="9.109375" style="9"/>
    <col min="8449" max="8449" width="7.44140625" style="9" customWidth="1"/>
    <col min="8450" max="8450" width="26.109375" style="9" customWidth="1"/>
    <col min="8451" max="8451" width="22.44140625" style="9" customWidth="1"/>
    <col min="8452" max="8452" width="26.33203125" style="9" customWidth="1"/>
    <col min="8453" max="8453" width="27.109375" style="9" customWidth="1"/>
    <col min="8454" max="8455" width="26.109375" style="9" customWidth="1"/>
    <col min="8456" max="8456" width="33.6640625" style="9" customWidth="1"/>
    <col min="8457" max="8704" width="9.109375" style="9"/>
    <col min="8705" max="8705" width="7.44140625" style="9" customWidth="1"/>
    <col min="8706" max="8706" width="26.109375" style="9" customWidth="1"/>
    <col min="8707" max="8707" width="22.44140625" style="9" customWidth="1"/>
    <col min="8708" max="8708" width="26.33203125" style="9" customWidth="1"/>
    <col min="8709" max="8709" width="27.109375" style="9" customWidth="1"/>
    <col min="8710" max="8711" width="26.109375" style="9" customWidth="1"/>
    <col min="8712" max="8712" width="33.6640625" style="9" customWidth="1"/>
    <col min="8713" max="8960" width="9.109375" style="9"/>
    <col min="8961" max="8961" width="7.44140625" style="9" customWidth="1"/>
    <col min="8962" max="8962" width="26.109375" style="9" customWidth="1"/>
    <col min="8963" max="8963" width="22.44140625" style="9" customWidth="1"/>
    <col min="8964" max="8964" width="26.33203125" style="9" customWidth="1"/>
    <col min="8965" max="8965" width="27.109375" style="9" customWidth="1"/>
    <col min="8966" max="8967" width="26.109375" style="9" customWidth="1"/>
    <col min="8968" max="8968" width="33.6640625" style="9" customWidth="1"/>
    <col min="8969" max="9216" width="9.109375" style="9"/>
    <col min="9217" max="9217" width="7.44140625" style="9" customWidth="1"/>
    <col min="9218" max="9218" width="26.109375" style="9" customWidth="1"/>
    <col min="9219" max="9219" width="22.44140625" style="9" customWidth="1"/>
    <col min="9220" max="9220" width="26.33203125" style="9" customWidth="1"/>
    <col min="9221" max="9221" width="27.109375" style="9" customWidth="1"/>
    <col min="9222" max="9223" width="26.109375" style="9" customWidth="1"/>
    <col min="9224" max="9224" width="33.6640625" style="9" customWidth="1"/>
    <col min="9225" max="9472" width="9.109375" style="9"/>
    <col min="9473" max="9473" width="7.44140625" style="9" customWidth="1"/>
    <col min="9474" max="9474" width="26.109375" style="9" customWidth="1"/>
    <col min="9475" max="9475" width="22.44140625" style="9" customWidth="1"/>
    <col min="9476" max="9476" width="26.33203125" style="9" customWidth="1"/>
    <col min="9477" max="9477" width="27.109375" style="9" customWidth="1"/>
    <col min="9478" max="9479" width="26.109375" style="9" customWidth="1"/>
    <col min="9480" max="9480" width="33.6640625" style="9" customWidth="1"/>
    <col min="9481" max="9728" width="9.109375" style="9"/>
    <col min="9729" max="9729" width="7.44140625" style="9" customWidth="1"/>
    <col min="9730" max="9730" width="26.109375" style="9" customWidth="1"/>
    <col min="9731" max="9731" width="22.44140625" style="9" customWidth="1"/>
    <col min="9732" max="9732" width="26.33203125" style="9" customWidth="1"/>
    <col min="9733" max="9733" width="27.109375" style="9" customWidth="1"/>
    <col min="9734" max="9735" width="26.109375" style="9" customWidth="1"/>
    <col min="9736" max="9736" width="33.6640625" style="9" customWidth="1"/>
    <col min="9737" max="9984" width="9.109375" style="9"/>
    <col min="9985" max="9985" width="7.44140625" style="9" customWidth="1"/>
    <col min="9986" max="9986" width="26.109375" style="9" customWidth="1"/>
    <col min="9987" max="9987" width="22.44140625" style="9" customWidth="1"/>
    <col min="9988" max="9988" width="26.33203125" style="9" customWidth="1"/>
    <col min="9989" max="9989" width="27.109375" style="9" customWidth="1"/>
    <col min="9990" max="9991" width="26.109375" style="9" customWidth="1"/>
    <col min="9992" max="9992" width="33.6640625" style="9" customWidth="1"/>
    <col min="9993" max="10240" width="9.109375" style="9"/>
    <col min="10241" max="10241" width="7.44140625" style="9" customWidth="1"/>
    <col min="10242" max="10242" width="26.109375" style="9" customWidth="1"/>
    <col min="10243" max="10243" width="22.44140625" style="9" customWidth="1"/>
    <col min="10244" max="10244" width="26.33203125" style="9" customWidth="1"/>
    <col min="10245" max="10245" width="27.109375" style="9" customWidth="1"/>
    <col min="10246" max="10247" width="26.109375" style="9" customWidth="1"/>
    <col min="10248" max="10248" width="33.6640625" style="9" customWidth="1"/>
    <col min="10249" max="10496" width="9.109375" style="9"/>
    <col min="10497" max="10497" width="7.44140625" style="9" customWidth="1"/>
    <col min="10498" max="10498" width="26.109375" style="9" customWidth="1"/>
    <col min="10499" max="10499" width="22.44140625" style="9" customWidth="1"/>
    <col min="10500" max="10500" width="26.33203125" style="9" customWidth="1"/>
    <col min="10501" max="10501" width="27.109375" style="9" customWidth="1"/>
    <col min="10502" max="10503" width="26.109375" style="9" customWidth="1"/>
    <col min="10504" max="10504" width="33.6640625" style="9" customWidth="1"/>
    <col min="10505" max="10752" width="9.109375" style="9"/>
    <col min="10753" max="10753" width="7.44140625" style="9" customWidth="1"/>
    <col min="10754" max="10754" width="26.109375" style="9" customWidth="1"/>
    <col min="10755" max="10755" width="22.44140625" style="9" customWidth="1"/>
    <col min="10756" max="10756" width="26.33203125" style="9" customWidth="1"/>
    <col min="10757" max="10757" width="27.109375" style="9" customWidth="1"/>
    <col min="10758" max="10759" width="26.109375" style="9" customWidth="1"/>
    <col min="10760" max="10760" width="33.6640625" style="9" customWidth="1"/>
    <col min="10761" max="11008" width="9.109375" style="9"/>
    <col min="11009" max="11009" width="7.44140625" style="9" customWidth="1"/>
    <col min="11010" max="11010" width="26.109375" style="9" customWidth="1"/>
    <col min="11011" max="11011" width="22.44140625" style="9" customWidth="1"/>
    <col min="11012" max="11012" width="26.33203125" style="9" customWidth="1"/>
    <col min="11013" max="11013" width="27.109375" style="9" customWidth="1"/>
    <col min="11014" max="11015" width="26.109375" style="9" customWidth="1"/>
    <col min="11016" max="11016" width="33.6640625" style="9" customWidth="1"/>
    <col min="11017" max="11264" width="9.109375" style="9"/>
    <col min="11265" max="11265" width="7.44140625" style="9" customWidth="1"/>
    <col min="11266" max="11266" width="26.109375" style="9" customWidth="1"/>
    <col min="11267" max="11267" width="22.44140625" style="9" customWidth="1"/>
    <col min="11268" max="11268" width="26.33203125" style="9" customWidth="1"/>
    <col min="11269" max="11269" width="27.109375" style="9" customWidth="1"/>
    <col min="11270" max="11271" width="26.109375" style="9" customWidth="1"/>
    <col min="11272" max="11272" width="33.6640625" style="9" customWidth="1"/>
    <col min="11273" max="11520" width="9.109375" style="9"/>
    <col min="11521" max="11521" width="7.44140625" style="9" customWidth="1"/>
    <col min="11522" max="11522" width="26.109375" style="9" customWidth="1"/>
    <col min="11523" max="11523" width="22.44140625" style="9" customWidth="1"/>
    <col min="11524" max="11524" width="26.33203125" style="9" customWidth="1"/>
    <col min="11525" max="11525" width="27.109375" style="9" customWidth="1"/>
    <col min="11526" max="11527" width="26.109375" style="9" customWidth="1"/>
    <col min="11528" max="11528" width="33.6640625" style="9" customWidth="1"/>
    <col min="11529" max="11776" width="9.109375" style="9"/>
    <col min="11777" max="11777" width="7.44140625" style="9" customWidth="1"/>
    <col min="11778" max="11778" width="26.109375" style="9" customWidth="1"/>
    <col min="11779" max="11779" width="22.44140625" style="9" customWidth="1"/>
    <col min="11780" max="11780" width="26.33203125" style="9" customWidth="1"/>
    <col min="11781" max="11781" width="27.109375" style="9" customWidth="1"/>
    <col min="11782" max="11783" width="26.109375" style="9" customWidth="1"/>
    <col min="11784" max="11784" width="33.6640625" style="9" customWidth="1"/>
    <col min="11785" max="12032" width="9.109375" style="9"/>
    <col min="12033" max="12033" width="7.44140625" style="9" customWidth="1"/>
    <col min="12034" max="12034" width="26.109375" style="9" customWidth="1"/>
    <col min="12035" max="12035" width="22.44140625" style="9" customWidth="1"/>
    <col min="12036" max="12036" width="26.33203125" style="9" customWidth="1"/>
    <col min="12037" max="12037" width="27.109375" style="9" customWidth="1"/>
    <col min="12038" max="12039" width="26.109375" style="9" customWidth="1"/>
    <col min="12040" max="12040" width="33.6640625" style="9" customWidth="1"/>
    <col min="12041" max="12288" width="9.109375" style="9"/>
    <col min="12289" max="12289" width="7.44140625" style="9" customWidth="1"/>
    <col min="12290" max="12290" width="26.109375" style="9" customWidth="1"/>
    <col min="12291" max="12291" width="22.44140625" style="9" customWidth="1"/>
    <col min="12292" max="12292" width="26.33203125" style="9" customWidth="1"/>
    <col min="12293" max="12293" width="27.109375" style="9" customWidth="1"/>
    <col min="12294" max="12295" width="26.109375" style="9" customWidth="1"/>
    <col min="12296" max="12296" width="33.6640625" style="9" customWidth="1"/>
    <col min="12297" max="12544" width="9.109375" style="9"/>
    <col min="12545" max="12545" width="7.44140625" style="9" customWidth="1"/>
    <col min="12546" max="12546" width="26.109375" style="9" customWidth="1"/>
    <col min="12547" max="12547" width="22.44140625" style="9" customWidth="1"/>
    <col min="12548" max="12548" width="26.33203125" style="9" customWidth="1"/>
    <col min="12549" max="12549" width="27.109375" style="9" customWidth="1"/>
    <col min="12550" max="12551" width="26.109375" style="9" customWidth="1"/>
    <col min="12552" max="12552" width="33.6640625" style="9" customWidth="1"/>
    <col min="12553" max="12800" width="9.109375" style="9"/>
    <col min="12801" max="12801" width="7.44140625" style="9" customWidth="1"/>
    <col min="12802" max="12802" width="26.109375" style="9" customWidth="1"/>
    <col min="12803" max="12803" width="22.44140625" style="9" customWidth="1"/>
    <col min="12804" max="12804" width="26.33203125" style="9" customWidth="1"/>
    <col min="12805" max="12805" width="27.109375" style="9" customWidth="1"/>
    <col min="12806" max="12807" width="26.109375" style="9" customWidth="1"/>
    <col min="12808" max="12808" width="33.6640625" style="9" customWidth="1"/>
    <col min="12809" max="13056" width="9.109375" style="9"/>
    <col min="13057" max="13057" width="7.44140625" style="9" customWidth="1"/>
    <col min="13058" max="13058" width="26.109375" style="9" customWidth="1"/>
    <col min="13059" max="13059" width="22.44140625" style="9" customWidth="1"/>
    <col min="13060" max="13060" width="26.33203125" style="9" customWidth="1"/>
    <col min="13061" max="13061" width="27.109375" style="9" customWidth="1"/>
    <col min="13062" max="13063" width="26.109375" style="9" customWidth="1"/>
    <col min="13064" max="13064" width="33.6640625" style="9" customWidth="1"/>
    <col min="13065" max="13312" width="9.109375" style="9"/>
    <col min="13313" max="13313" width="7.44140625" style="9" customWidth="1"/>
    <col min="13314" max="13314" width="26.109375" style="9" customWidth="1"/>
    <col min="13315" max="13315" width="22.44140625" style="9" customWidth="1"/>
    <col min="13316" max="13316" width="26.33203125" style="9" customWidth="1"/>
    <col min="13317" max="13317" width="27.109375" style="9" customWidth="1"/>
    <col min="13318" max="13319" width="26.109375" style="9" customWidth="1"/>
    <col min="13320" max="13320" width="33.6640625" style="9" customWidth="1"/>
    <col min="13321" max="13568" width="9.109375" style="9"/>
    <col min="13569" max="13569" width="7.44140625" style="9" customWidth="1"/>
    <col min="13570" max="13570" width="26.109375" style="9" customWidth="1"/>
    <col min="13571" max="13571" width="22.44140625" style="9" customWidth="1"/>
    <col min="13572" max="13572" width="26.33203125" style="9" customWidth="1"/>
    <col min="13573" max="13573" width="27.109375" style="9" customWidth="1"/>
    <col min="13574" max="13575" width="26.109375" style="9" customWidth="1"/>
    <col min="13576" max="13576" width="33.6640625" style="9" customWidth="1"/>
    <col min="13577" max="13824" width="9.109375" style="9"/>
    <col min="13825" max="13825" width="7.44140625" style="9" customWidth="1"/>
    <col min="13826" max="13826" width="26.109375" style="9" customWidth="1"/>
    <col min="13827" max="13827" width="22.44140625" style="9" customWidth="1"/>
    <col min="13828" max="13828" width="26.33203125" style="9" customWidth="1"/>
    <col min="13829" max="13829" width="27.109375" style="9" customWidth="1"/>
    <col min="13830" max="13831" width="26.109375" style="9" customWidth="1"/>
    <col min="13832" max="13832" width="33.6640625" style="9" customWidth="1"/>
    <col min="13833" max="14080" width="9.109375" style="9"/>
    <col min="14081" max="14081" width="7.44140625" style="9" customWidth="1"/>
    <col min="14082" max="14082" width="26.109375" style="9" customWidth="1"/>
    <col min="14083" max="14083" width="22.44140625" style="9" customWidth="1"/>
    <col min="14084" max="14084" width="26.33203125" style="9" customWidth="1"/>
    <col min="14085" max="14085" width="27.109375" style="9" customWidth="1"/>
    <col min="14086" max="14087" width="26.109375" style="9" customWidth="1"/>
    <col min="14088" max="14088" width="33.6640625" style="9" customWidth="1"/>
    <col min="14089" max="14336" width="9.109375" style="9"/>
    <col min="14337" max="14337" width="7.44140625" style="9" customWidth="1"/>
    <col min="14338" max="14338" width="26.109375" style="9" customWidth="1"/>
    <col min="14339" max="14339" width="22.44140625" style="9" customWidth="1"/>
    <col min="14340" max="14340" width="26.33203125" style="9" customWidth="1"/>
    <col min="14341" max="14341" width="27.109375" style="9" customWidth="1"/>
    <col min="14342" max="14343" width="26.109375" style="9" customWidth="1"/>
    <col min="14344" max="14344" width="33.6640625" style="9" customWidth="1"/>
    <col min="14345" max="14592" width="9.109375" style="9"/>
    <col min="14593" max="14593" width="7.44140625" style="9" customWidth="1"/>
    <col min="14594" max="14594" width="26.109375" style="9" customWidth="1"/>
    <col min="14595" max="14595" width="22.44140625" style="9" customWidth="1"/>
    <col min="14596" max="14596" width="26.33203125" style="9" customWidth="1"/>
    <col min="14597" max="14597" width="27.109375" style="9" customWidth="1"/>
    <col min="14598" max="14599" width="26.109375" style="9" customWidth="1"/>
    <col min="14600" max="14600" width="33.6640625" style="9" customWidth="1"/>
    <col min="14601" max="14848" width="9.109375" style="9"/>
    <col min="14849" max="14849" width="7.44140625" style="9" customWidth="1"/>
    <col min="14850" max="14850" width="26.109375" style="9" customWidth="1"/>
    <col min="14851" max="14851" width="22.44140625" style="9" customWidth="1"/>
    <col min="14852" max="14852" width="26.33203125" style="9" customWidth="1"/>
    <col min="14853" max="14853" width="27.109375" style="9" customWidth="1"/>
    <col min="14854" max="14855" width="26.109375" style="9" customWidth="1"/>
    <col min="14856" max="14856" width="33.6640625" style="9" customWidth="1"/>
    <col min="14857" max="15104" width="9.109375" style="9"/>
    <col min="15105" max="15105" width="7.44140625" style="9" customWidth="1"/>
    <col min="15106" max="15106" width="26.109375" style="9" customWidth="1"/>
    <col min="15107" max="15107" width="22.44140625" style="9" customWidth="1"/>
    <col min="15108" max="15108" width="26.33203125" style="9" customWidth="1"/>
    <col min="15109" max="15109" width="27.109375" style="9" customWidth="1"/>
    <col min="15110" max="15111" width="26.109375" style="9" customWidth="1"/>
    <col min="15112" max="15112" width="33.6640625" style="9" customWidth="1"/>
    <col min="15113" max="15360" width="9.109375" style="9"/>
    <col min="15361" max="15361" width="7.44140625" style="9" customWidth="1"/>
    <col min="15362" max="15362" width="26.109375" style="9" customWidth="1"/>
    <col min="15363" max="15363" width="22.44140625" style="9" customWidth="1"/>
    <col min="15364" max="15364" width="26.33203125" style="9" customWidth="1"/>
    <col min="15365" max="15365" width="27.109375" style="9" customWidth="1"/>
    <col min="15366" max="15367" width="26.109375" style="9" customWidth="1"/>
    <col min="15368" max="15368" width="33.6640625" style="9" customWidth="1"/>
    <col min="15369" max="15616" width="9.109375" style="9"/>
    <col min="15617" max="15617" width="7.44140625" style="9" customWidth="1"/>
    <col min="15618" max="15618" width="26.109375" style="9" customWidth="1"/>
    <col min="15619" max="15619" width="22.44140625" style="9" customWidth="1"/>
    <col min="15620" max="15620" width="26.33203125" style="9" customWidth="1"/>
    <col min="15621" max="15621" width="27.109375" style="9" customWidth="1"/>
    <col min="15622" max="15623" width="26.109375" style="9" customWidth="1"/>
    <col min="15624" max="15624" width="33.6640625" style="9" customWidth="1"/>
    <col min="15625" max="15872" width="9.109375" style="9"/>
    <col min="15873" max="15873" width="7.44140625" style="9" customWidth="1"/>
    <col min="15874" max="15874" width="26.109375" style="9" customWidth="1"/>
    <col min="15875" max="15875" width="22.44140625" style="9" customWidth="1"/>
    <col min="15876" max="15876" width="26.33203125" style="9" customWidth="1"/>
    <col min="15877" max="15877" width="27.109375" style="9" customWidth="1"/>
    <col min="15878" max="15879" width="26.109375" style="9" customWidth="1"/>
    <col min="15880" max="15880" width="33.6640625" style="9" customWidth="1"/>
    <col min="15881" max="16128" width="9.109375" style="9"/>
    <col min="16129" max="16129" width="7.44140625" style="9" customWidth="1"/>
    <col min="16130" max="16130" width="26.109375" style="9" customWidth="1"/>
    <col min="16131" max="16131" width="22.44140625" style="9" customWidth="1"/>
    <col min="16132" max="16132" width="26.33203125" style="9" customWidth="1"/>
    <col min="16133" max="16133" width="27.109375" style="9" customWidth="1"/>
    <col min="16134" max="16135" width="26.109375" style="9" customWidth="1"/>
    <col min="16136" max="16136" width="33.6640625" style="9" customWidth="1"/>
    <col min="16137" max="16384" width="9.109375" style="9"/>
  </cols>
  <sheetData>
    <row r="1" spans="1:9" s="7" customFormat="1" ht="90.75" customHeight="1" x14ac:dyDescent="0.45">
      <c r="E1" s="8"/>
    </row>
    <row r="2" spans="1:9" ht="33.75" customHeight="1" x14ac:dyDescent="0.4">
      <c r="B2" s="59" t="s">
        <v>6</v>
      </c>
      <c r="C2" s="10"/>
      <c r="G2" s="12"/>
      <c r="H2" s="12"/>
      <c r="I2" s="12"/>
    </row>
    <row r="3" spans="1:9" ht="26.25" customHeight="1" x14ac:dyDescent="0.3">
      <c r="B3" s="13" t="s">
        <v>4</v>
      </c>
      <c r="E3" s="14"/>
      <c r="F3" s="12"/>
      <c r="G3" s="12"/>
      <c r="H3" s="12"/>
      <c r="I3" s="12"/>
    </row>
    <row r="4" spans="1:9" s="7" customFormat="1" ht="40.5" customHeight="1" x14ac:dyDescent="0.45">
      <c r="B4" s="15" t="s">
        <v>9</v>
      </c>
      <c r="C4" s="16" t="s">
        <v>7</v>
      </c>
      <c r="D4" s="17" t="s">
        <v>8</v>
      </c>
      <c r="E4" s="17" t="s">
        <v>11</v>
      </c>
      <c r="F4" s="18" t="s">
        <v>19</v>
      </c>
      <c r="G4" s="17"/>
      <c r="H4" s="17"/>
    </row>
    <row r="5" spans="1:9" ht="48.75" customHeight="1" x14ac:dyDescent="0.25">
      <c r="B5" s="19" t="s">
        <v>14</v>
      </c>
      <c r="C5" s="20" t="s">
        <v>18</v>
      </c>
      <c r="D5" s="20" t="s">
        <v>17</v>
      </c>
      <c r="E5" s="20" t="s">
        <v>15</v>
      </c>
      <c r="F5" s="21" t="s">
        <v>16</v>
      </c>
      <c r="G5" s="20"/>
      <c r="H5" s="20"/>
    </row>
    <row r="6" spans="1:9" ht="19.5" customHeight="1" x14ac:dyDescent="0.25">
      <c r="B6" s="22" t="s">
        <v>10</v>
      </c>
      <c r="C6" s="22" t="s">
        <v>12</v>
      </c>
      <c r="D6" s="23" t="s">
        <v>13</v>
      </c>
      <c r="E6" s="23" t="s">
        <v>13</v>
      </c>
      <c r="F6" s="24" t="s">
        <v>20</v>
      </c>
      <c r="G6" s="23"/>
      <c r="H6" s="23"/>
    </row>
    <row r="7" spans="1:9" ht="11.25" customHeight="1" x14ac:dyDescent="0.25">
      <c r="B7" s="22"/>
      <c r="C7" s="25"/>
      <c r="D7" s="25"/>
      <c r="E7" s="22"/>
      <c r="F7" s="25"/>
    </row>
    <row r="8" spans="1:9" ht="14.4" x14ac:dyDescent="0.3">
      <c r="E8" s="26"/>
      <c r="F8" s="63"/>
      <c r="G8" s="63"/>
      <c r="H8" s="26"/>
    </row>
    <row r="9" spans="1:9" ht="26.25" customHeight="1" x14ac:dyDescent="0.3">
      <c r="E9" s="64"/>
      <c r="F9" s="64"/>
      <c r="G9" s="63"/>
      <c r="H9" s="63"/>
      <c r="I9" s="12"/>
    </row>
    <row r="10" spans="1:9" ht="5.25" customHeight="1" x14ac:dyDescent="0.4">
      <c r="B10" s="27"/>
      <c r="D10" s="28"/>
      <c r="E10" s="52"/>
      <c r="F10" s="26"/>
      <c r="G10" s="63"/>
      <c r="H10" s="63"/>
      <c r="I10" s="12"/>
    </row>
    <row r="11" spans="1:9" ht="31.5" customHeight="1" x14ac:dyDescent="0.65">
      <c r="A11" s="30"/>
      <c r="C11" s="31" t="s">
        <v>5</v>
      </c>
      <c r="E11" s="65"/>
      <c r="F11" s="65"/>
      <c r="G11" s="32"/>
      <c r="H11" s="32"/>
      <c r="I11" s="32"/>
    </row>
    <row r="12" spans="1:9" ht="12.75" customHeight="1" x14ac:dyDescent="0.25">
      <c r="E12" s="65"/>
      <c r="F12" s="65"/>
      <c r="G12" s="32"/>
      <c r="H12" s="32"/>
      <c r="I12" s="32"/>
    </row>
    <row r="13" spans="1:9" s="33" customFormat="1" ht="18" customHeight="1" x14ac:dyDescent="0.35">
      <c r="E13" s="66"/>
      <c r="F13" s="66"/>
    </row>
    <row r="14" spans="1:9" s="33" customFormat="1" ht="18" customHeight="1" x14ac:dyDescent="0.35">
      <c r="C14" s="34"/>
      <c r="E14" s="66"/>
      <c r="F14" s="66"/>
    </row>
    <row r="15" spans="1:9" s="33" customFormat="1" ht="18" customHeight="1" x14ac:dyDescent="0.35">
      <c r="C15" s="35" t="s">
        <v>21</v>
      </c>
      <c r="E15" s="67"/>
      <c r="F15" s="67"/>
    </row>
    <row r="16" spans="1:9" s="33" customFormat="1" ht="18" customHeight="1" x14ac:dyDescent="0.35">
      <c r="C16" s="35" t="s">
        <v>22</v>
      </c>
      <c r="E16" s="67"/>
      <c r="F16" s="67"/>
    </row>
    <row r="17" spans="2:15" s="33" customFormat="1" ht="18" customHeight="1" x14ac:dyDescent="0.35">
      <c r="C17" s="35" t="s">
        <v>23</v>
      </c>
      <c r="E17" s="53"/>
      <c r="F17" s="38"/>
    </row>
    <row r="18" spans="2:15" s="33" customFormat="1" ht="18" customHeight="1" x14ac:dyDescent="0.35">
      <c r="C18" s="35" t="s">
        <v>24</v>
      </c>
      <c r="E18" s="53"/>
      <c r="F18" s="39"/>
    </row>
    <row r="19" spans="2:15" s="33" customFormat="1" ht="18" customHeight="1" x14ac:dyDescent="0.35">
      <c r="C19" s="35" t="s">
        <v>25</v>
      </c>
      <c r="E19" s="37"/>
      <c r="F19" s="39"/>
      <c r="I19" s="40"/>
      <c r="J19" s="40"/>
      <c r="K19" s="40"/>
      <c r="L19" s="40"/>
      <c r="M19" s="40"/>
      <c r="N19" s="40"/>
      <c r="O19" s="40"/>
    </row>
    <row r="20" spans="2:15" s="33" customFormat="1" ht="18" customHeight="1" x14ac:dyDescent="0.35">
      <c r="C20" s="35"/>
      <c r="E20" s="41"/>
      <c r="F20" s="39"/>
      <c r="I20" s="40"/>
      <c r="J20" s="40"/>
      <c r="K20" s="40"/>
      <c r="L20" s="40"/>
      <c r="M20" s="40"/>
      <c r="N20" s="40"/>
      <c r="O20" s="40"/>
    </row>
    <row r="21" spans="2:15" s="33" customFormat="1" ht="18" customHeight="1" x14ac:dyDescent="0.35">
      <c r="C21" s="36"/>
      <c r="E21" s="37"/>
      <c r="F21" s="39"/>
      <c r="J21" s="42"/>
      <c r="K21" s="42"/>
      <c r="L21" s="42"/>
      <c r="M21" s="42"/>
      <c r="N21" s="42"/>
    </row>
    <row r="22" spans="2:15" s="33" customFormat="1" ht="18" customHeight="1" x14ac:dyDescent="0.35">
      <c r="C22" s="36"/>
      <c r="E22" s="37"/>
      <c r="J22" s="42"/>
      <c r="K22" s="42"/>
      <c r="L22" s="42"/>
      <c r="M22" s="42"/>
      <c r="N22" s="42"/>
    </row>
    <row r="23" spans="2:15" s="33" customFormat="1" ht="18" customHeight="1" x14ac:dyDescent="0.35">
      <c r="C23" s="36"/>
    </row>
    <row r="24" spans="2:15" s="33" customFormat="1" ht="18" customHeight="1" x14ac:dyDescent="0.35">
      <c r="B24" s="43"/>
      <c r="C24" s="36"/>
      <c r="E24" s="44"/>
      <c r="F24" s="45"/>
      <c r="J24" s="42"/>
      <c r="K24" s="42"/>
      <c r="L24" s="42"/>
      <c r="M24" s="42"/>
      <c r="N24" s="42"/>
    </row>
    <row r="25" spans="2:15" s="33" customFormat="1" ht="18" customHeight="1" x14ac:dyDescent="0.35">
      <c r="B25" s="46"/>
      <c r="C25" s="36"/>
      <c r="E25" s="68"/>
      <c r="F25" s="68"/>
    </row>
    <row r="26" spans="2:15" ht="16.5" customHeight="1" x14ac:dyDescent="0.35">
      <c r="B26" s="33"/>
      <c r="C26" s="47"/>
      <c r="E26" s="69"/>
      <c r="F26" s="69"/>
      <c r="G26" s="69"/>
      <c r="H26" s="69"/>
      <c r="I26" s="69"/>
    </row>
    <row r="27" spans="2:15" ht="15.75" customHeight="1" x14ac:dyDescent="0.3">
      <c r="C27" s="47"/>
      <c r="E27" s="62"/>
      <c r="F27" s="62"/>
      <c r="G27" s="62"/>
      <c r="H27" s="62"/>
      <c r="I27" s="62"/>
    </row>
    <row r="28" spans="2:15" ht="15.75" customHeight="1" x14ac:dyDescent="0.3">
      <c r="B28" s="43"/>
      <c r="C28" s="48"/>
      <c r="E28" s="62"/>
      <c r="F28" s="62"/>
      <c r="G28" s="62"/>
      <c r="H28" s="62"/>
      <c r="I28" s="62"/>
    </row>
    <row r="29" spans="2:15" ht="36" customHeight="1" x14ac:dyDescent="0.4">
      <c r="C29" s="28"/>
      <c r="D29" s="49"/>
      <c r="E29" s="70"/>
      <c r="F29" s="70"/>
      <c r="G29" s="70"/>
      <c r="H29" s="70"/>
      <c r="I29" s="70"/>
    </row>
    <row r="30" spans="2:15" ht="18" customHeight="1" x14ac:dyDescent="0.3">
      <c r="E30" s="62"/>
      <c r="F30" s="62"/>
      <c r="G30" s="62"/>
      <c r="H30" s="62"/>
      <c r="I30" s="62"/>
    </row>
    <row r="31" spans="2:15" ht="12.75" customHeight="1" x14ac:dyDescent="0.3">
      <c r="E31" s="63"/>
      <c r="F31" s="63"/>
      <c r="G31" s="63"/>
      <c r="H31" s="26"/>
      <c r="I31" s="63"/>
    </row>
    <row r="32" spans="2:15" ht="31.5" customHeight="1" x14ac:dyDescent="0.3">
      <c r="E32" s="62"/>
      <c r="F32" s="62"/>
      <c r="G32" s="71"/>
      <c r="H32" s="71"/>
      <c r="I32" s="63"/>
    </row>
    <row r="33" spans="5:9" ht="21" x14ac:dyDescent="0.4">
      <c r="E33" s="29"/>
      <c r="F33" s="26"/>
      <c r="G33" s="63"/>
      <c r="H33" s="63"/>
      <c r="I33" s="63"/>
    </row>
    <row r="34" spans="5:9" ht="15.75" customHeight="1" x14ac:dyDescent="0.3">
      <c r="E34" s="62"/>
      <c r="F34" s="62"/>
      <c r="G34" s="71"/>
      <c r="H34" s="71"/>
      <c r="I34" s="63"/>
    </row>
    <row r="35" spans="5:9" ht="14.4" x14ac:dyDescent="0.3">
      <c r="E35" s="63"/>
      <c r="F35" s="63"/>
      <c r="G35" s="63"/>
      <c r="H35" s="63"/>
      <c r="I35" s="63"/>
    </row>
    <row r="36" spans="5:9" ht="31.5" customHeight="1" x14ac:dyDescent="0.3">
      <c r="E36" s="62"/>
      <c r="F36" s="62"/>
      <c r="G36" s="71"/>
      <c r="H36" s="71"/>
      <c r="I36" s="63"/>
    </row>
    <row r="37" spans="5:9" ht="31.5" customHeight="1" x14ac:dyDescent="0.3">
      <c r="E37" s="62"/>
      <c r="F37" s="62"/>
      <c r="G37" s="71"/>
      <c r="H37" s="71"/>
      <c r="I37" s="63"/>
    </row>
    <row r="38" spans="5:9" ht="14.4" x14ac:dyDescent="0.3">
      <c r="E38" s="26"/>
      <c r="F38" s="63"/>
      <c r="G38" s="63"/>
      <c r="H38" s="26"/>
      <c r="I38" s="63"/>
    </row>
    <row r="39" spans="5:9" ht="14.4" x14ac:dyDescent="0.3">
      <c r="E39" s="26"/>
      <c r="F39" s="26"/>
      <c r="G39" s="26"/>
      <c r="H39" s="26"/>
      <c r="I39" s="63"/>
    </row>
    <row r="40" spans="5:9" ht="15.6" x14ac:dyDescent="0.3">
      <c r="E40" s="50"/>
      <c r="F40" s="12"/>
      <c r="G40" s="12"/>
      <c r="H40" s="12"/>
      <c r="I40" s="12"/>
    </row>
    <row r="41" spans="5:9" ht="15.6" x14ac:dyDescent="0.3">
      <c r="E41" s="50"/>
      <c r="F41" s="12"/>
      <c r="G41" s="12"/>
      <c r="H41" s="12"/>
      <c r="I41" s="12"/>
    </row>
    <row r="42" spans="5:9" ht="14.4" x14ac:dyDescent="0.3">
      <c r="E42" s="14"/>
      <c r="F42" s="12"/>
      <c r="G42" s="12"/>
      <c r="H42" s="12"/>
      <c r="I42" s="12"/>
    </row>
    <row r="43" spans="5:9" ht="14.4" x14ac:dyDescent="0.3">
      <c r="E43" s="14"/>
      <c r="F43" s="12"/>
      <c r="G43" s="12"/>
      <c r="H43" s="12"/>
      <c r="I43" s="12"/>
    </row>
    <row r="45" spans="5:9" ht="18" x14ac:dyDescent="0.35">
      <c r="E45" s="51"/>
    </row>
    <row r="62" spans="5:5" ht="21" x14ac:dyDescent="0.4">
      <c r="E62" s="29"/>
    </row>
  </sheetData>
  <mergeCells count="28">
    <mergeCell ref="F38:G38"/>
    <mergeCell ref="E29:I29"/>
    <mergeCell ref="E30:I30"/>
    <mergeCell ref="E31:G31"/>
    <mergeCell ref="I31:I39"/>
    <mergeCell ref="E32:F32"/>
    <mergeCell ref="G32:H32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28:I28"/>
    <mergeCell ref="F8:G8"/>
    <mergeCell ref="E9:F9"/>
    <mergeCell ref="G9:H9"/>
    <mergeCell ref="G10:H10"/>
    <mergeCell ref="E11:F12"/>
    <mergeCell ref="E13:F13"/>
    <mergeCell ref="E14:F14"/>
    <mergeCell ref="E15:F16"/>
    <mergeCell ref="E25:F25"/>
    <mergeCell ref="E26:I26"/>
    <mergeCell ref="E27:I27"/>
  </mergeCells>
  <hyperlinks>
    <hyperlink ref="B6" r:id="rId1"/>
    <hyperlink ref="C16" location="Dr.Web!A1" display="Dr.Web"/>
    <hyperlink ref="C18" location="Антиплагиат!A1" display="Антиплагиат"/>
    <hyperlink ref="C19" location="'1С'!A1" display="1С"/>
    <hyperlink ref="C15" location="Kaspersky!A1" display="Kaspersky"/>
    <hyperlink ref="C17" location="Microsoft!A1" display="Microsoft"/>
    <hyperlink ref="D6" r:id="rId2"/>
    <hyperlink ref="F6" r:id="rId3"/>
    <hyperlink ref="C6" r:id="rId4"/>
    <hyperlink ref="E6" r:id="rId5"/>
    <hyperlink ref="B2" r:id="rId6"/>
  </hyperlinks>
  <pageMargins left="0.7" right="0.7" top="0.75" bottom="0.75" header="0.3" footer="0.3"/>
  <pageSetup paperSize="9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pane ySplit="4" topLeftCell="A5" activePane="bottomLeft" state="frozen"/>
      <selection pane="bottomLeft" activeCell="B27" sqref="B27"/>
    </sheetView>
  </sheetViews>
  <sheetFormatPr defaultRowHeight="14.4" x14ac:dyDescent="0.3"/>
  <cols>
    <col min="1" max="1" width="22" customWidth="1"/>
    <col min="2" max="2" width="90.77734375" customWidth="1"/>
    <col min="3" max="3" width="9.109375" customWidth="1"/>
    <col min="4" max="4" width="8.6640625" customWidth="1"/>
    <col min="5" max="5" width="11.6640625" style="58" bestFit="1" customWidth="1"/>
  </cols>
  <sheetData>
    <row r="1" spans="1:6" s="54" customFormat="1" ht="29.4" customHeight="1" x14ac:dyDescent="0.4">
      <c r="A1" s="72" t="s">
        <v>61</v>
      </c>
      <c r="B1" s="72"/>
      <c r="C1" s="72"/>
      <c r="D1" s="72"/>
      <c r="E1" s="72"/>
    </row>
    <row r="2" spans="1:6" x14ac:dyDescent="0.3">
      <c r="A2" s="1" t="s">
        <v>62</v>
      </c>
      <c r="B2" s="1"/>
      <c r="C2" s="1"/>
      <c r="D2" s="1" t="s">
        <v>311</v>
      </c>
      <c r="E2" s="55">
        <v>1</v>
      </c>
    </row>
    <row r="3" spans="1:6" x14ac:dyDescent="0.3">
      <c r="A3" s="1"/>
      <c r="B3" s="1"/>
      <c r="C3" s="1"/>
      <c r="D3" s="1"/>
      <c r="E3" s="55"/>
    </row>
    <row r="4" spans="1:6" ht="20.399999999999999" x14ac:dyDescent="0.3">
      <c r="A4" s="2" t="s">
        <v>0</v>
      </c>
      <c r="B4" s="2" t="s">
        <v>1</v>
      </c>
      <c r="C4" s="2" t="s">
        <v>67</v>
      </c>
      <c r="D4" s="2" t="s">
        <v>36</v>
      </c>
      <c r="E4" s="56" t="s">
        <v>26</v>
      </c>
    </row>
    <row r="5" spans="1:6" x14ac:dyDescent="0.3">
      <c r="A5" s="73" t="s">
        <v>56</v>
      </c>
      <c r="B5" s="73"/>
      <c r="C5" s="73"/>
      <c r="D5" s="73"/>
      <c r="E5" s="73"/>
    </row>
    <row r="6" spans="1:6" x14ac:dyDescent="0.3">
      <c r="A6" s="3" t="s">
        <v>49</v>
      </c>
      <c r="B6" s="3" t="s">
        <v>48</v>
      </c>
      <c r="C6" s="3" t="s">
        <v>68</v>
      </c>
      <c r="D6" s="5">
        <v>2</v>
      </c>
      <c r="E6" s="57">
        <f>11753*$E$2</f>
        <v>11753</v>
      </c>
      <c r="F6" s="60"/>
    </row>
    <row r="7" spans="1:6" x14ac:dyDescent="0.3">
      <c r="A7" s="3" t="s">
        <v>51</v>
      </c>
      <c r="B7" s="3" t="s">
        <v>50</v>
      </c>
      <c r="C7" s="3" t="s">
        <v>68</v>
      </c>
      <c r="D7" s="5">
        <v>2</v>
      </c>
      <c r="E7" s="57">
        <f>8800*$E$2</f>
        <v>8800</v>
      </c>
      <c r="F7" s="60"/>
    </row>
    <row r="8" spans="1:6" x14ac:dyDescent="0.3">
      <c r="A8" s="3" t="s">
        <v>53</v>
      </c>
      <c r="B8" s="3" t="s">
        <v>52</v>
      </c>
      <c r="C8" s="3" t="s">
        <v>68</v>
      </c>
      <c r="D8" s="5">
        <v>3</v>
      </c>
      <c r="E8" s="57">
        <f>14115*$E$2</f>
        <v>14115</v>
      </c>
      <c r="F8" s="60"/>
    </row>
    <row r="9" spans="1:6" x14ac:dyDescent="0.3">
      <c r="A9" s="3" t="s">
        <v>55</v>
      </c>
      <c r="B9" s="3" t="s">
        <v>54</v>
      </c>
      <c r="C9" s="3" t="s">
        <v>68</v>
      </c>
      <c r="D9" s="5">
        <v>3</v>
      </c>
      <c r="E9" s="57">
        <f>10569*$E$2</f>
        <v>10569</v>
      </c>
      <c r="F9" s="60"/>
    </row>
    <row r="10" spans="1:6" x14ac:dyDescent="0.3">
      <c r="A10" s="73" t="s">
        <v>57</v>
      </c>
      <c r="B10" s="73"/>
      <c r="C10" s="73"/>
      <c r="D10" s="73"/>
      <c r="E10" s="73"/>
      <c r="F10" s="60"/>
    </row>
    <row r="11" spans="1:6" x14ac:dyDescent="0.3">
      <c r="A11" s="3" t="s">
        <v>31</v>
      </c>
      <c r="B11" s="3" t="s">
        <v>29</v>
      </c>
      <c r="C11" s="3" t="s">
        <v>68</v>
      </c>
      <c r="D11" s="5">
        <v>2</v>
      </c>
      <c r="E11" s="57">
        <f>10631*$E$2</f>
        <v>10631</v>
      </c>
      <c r="F11" s="60"/>
    </row>
    <row r="12" spans="1:6" x14ac:dyDescent="0.3">
      <c r="A12" s="3" t="s">
        <v>34</v>
      </c>
      <c r="B12" s="3" t="s">
        <v>32</v>
      </c>
      <c r="C12" s="3" t="s">
        <v>68</v>
      </c>
      <c r="D12" s="5">
        <v>2</v>
      </c>
      <c r="E12" s="57">
        <f>7796*$E$2</f>
        <v>7796</v>
      </c>
      <c r="F12" s="60"/>
    </row>
    <row r="13" spans="1:6" x14ac:dyDescent="0.3">
      <c r="A13" s="3" t="s">
        <v>35</v>
      </c>
      <c r="B13" s="3" t="s">
        <v>30</v>
      </c>
      <c r="C13" s="3" t="s">
        <v>68</v>
      </c>
      <c r="D13" s="5">
        <v>3</v>
      </c>
      <c r="E13" s="57">
        <f>11753*$E$2</f>
        <v>11753</v>
      </c>
      <c r="F13" s="60"/>
    </row>
    <row r="14" spans="1:6" x14ac:dyDescent="0.3">
      <c r="A14" s="3" t="s">
        <v>37</v>
      </c>
      <c r="B14" s="3" t="s">
        <v>33</v>
      </c>
      <c r="C14" s="3" t="s">
        <v>68</v>
      </c>
      <c r="D14" s="5">
        <v>3</v>
      </c>
      <c r="E14" s="57">
        <f>8800*$E$2</f>
        <v>8800</v>
      </c>
      <c r="F14" s="60"/>
    </row>
    <row r="15" spans="1:6" x14ac:dyDescent="0.3">
      <c r="A15" s="3" t="s">
        <v>39</v>
      </c>
      <c r="B15" s="3" t="s">
        <v>38</v>
      </c>
      <c r="C15" s="3" t="s">
        <v>68</v>
      </c>
      <c r="D15" s="5">
        <v>5</v>
      </c>
      <c r="E15" s="57">
        <f>23026*$E$2</f>
        <v>23026</v>
      </c>
      <c r="F15" s="60"/>
    </row>
    <row r="16" spans="1:6" x14ac:dyDescent="0.3">
      <c r="A16" s="3" t="s">
        <v>41</v>
      </c>
      <c r="B16" s="3" t="s">
        <v>40</v>
      </c>
      <c r="C16" s="3" t="s">
        <v>68</v>
      </c>
      <c r="D16" s="5">
        <v>5</v>
      </c>
      <c r="E16" s="57">
        <f>17125*$E$2</f>
        <v>17125</v>
      </c>
      <c r="F16" s="60"/>
    </row>
    <row r="17" spans="1:6" x14ac:dyDescent="0.3">
      <c r="A17" s="73" t="s">
        <v>59</v>
      </c>
      <c r="B17" s="73"/>
      <c r="C17" s="73"/>
      <c r="D17" s="73"/>
      <c r="E17" s="73"/>
      <c r="F17" s="60"/>
    </row>
    <row r="18" spans="1:6" x14ac:dyDescent="0.3">
      <c r="A18" s="3" t="s">
        <v>43</v>
      </c>
      <c r="B18" s="3" t="s">
        <v>42</v>
      </c>
      <c r="C18" s="3" t="s">
        <v>68</v>
      </c>
      <c r="D18" s="5">
        <v>2</v>
      </c>
      <c r="E18" s="57">
        <f>7796*$E$2</f>
        <v>7796</v>
      </c>
      <c r="F18" s="60"/>
    </row>
    <row r="19" spans="1:6" x14ac:dyDescent="0.3">
      <c r="A19" s="3" t="s">
        <v>45</v>
      </c>
      <c r="B19" s="3" t="s">
        <v>44</v>
      </c>
      <c r="C19" s="3" t="s">
        <v>68</v>
      </c>
      <c r="D19" s="5">
        <v>2</v>
      </c>
      <c r="E19" s="57">
        <f>5845*$E$2</f>
        <v>5845</v>
      </c>
      <c r="F19" s="60"/>
    </row>
    <row r="20" spans="1:6" x14ac:dyDescent="0.3">
      <c r="A20" s="73" t="s">
        <v>60</v>
      </c>
      <c r="B20" s="73"/>
      <c r="C20" s="73"/>
      <c r="D20" s="73"/>
      <c r="E20" s="73"/>
      <c r="F20" s="60"/>
    </row>
    <row r="21" spans="1:6" x14ac:dyDescent="0.3">
      <c r="A21" s="3" t="s">
        <v>47</v>
      </c>
      <c r="B21" s="6" t="s">
        <v>46</v>
      </c>
      <c r="C21" s="6" t="s">
        <v>68</v>
      </c>
      <c r="D21" s="5">
        <v>1</v>
      </c>
      <c r="E21" s="57">
        <f>5316*$E$2</f>
        <v>5316</v>
      </c>
      <c r="F21" s="60"/>
    </row>
    <row r="22" spans="1:6" x14ac:dyDescent="0.3">
      <c r="A22" s="73" t="s">
        <v>58</v>
      </c>
      <c r="B22" s="73"/>
      <c r="C22" s="73"/>
      <c r="D22" s="73"/>
      <c r="E22" s="73"/>
      <c r="F22" s="60"/>
    </row>
    <row r="23" spans="1:6" x14ac:dyDescent="0.3">
      <c r="A23" s="3" t="s">
        <v>28</v>
      </c>
      <c r="B23" s="3" t="s">
        <v>27</v>
      </c>
      <c r="C23" s="3" t="s">
        <v>68</v>
      </c>
      <c r="D23" s="5">
        <v>1</v>
      </c>
      <c r="E23" s="57">
        <f>2898*$E$2</f>
        <v>2898</v>
      </c>
      <c r="F23" s="60"/>
    </row>
  </sheetData>
  <autoFilter ref="A4:E23"/>
  <mergeCells count="6">
    <mergeCell ref="A1:E1"/>
    <mergeCell ref="A5:E5"/>
    <mergeCell ref="A10:E10"/>
    <mergeCell ref="A22:E22"/>
    <mergeCell ref="A17:E17"/>
    <mergeCell ref="A20:E20"/>
  </mergeCells>
  <hyperlinks>
    <hyperlink ref="A1:E1" location="Главная!A1" display="ВОЗВРАТ НА ГЛАВНУЮ СТРАНИЦУ"/>
    <hyperlink ref="B8" r:id="rId1" display="https://esd.comportal.kz/Home/Catalog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zoomScaleNormal="100" workbookViewId="0">
      <pane ySplit="4" topLeftCell="A5" activePane="bottomLeft" state="frozen"/>
      <selection pane="bottomLeft" activeCell="E114" sqref="E114"/>
    </sheetView>
  </sheetViews>
  <sheetFormatPr defaultRowHeight="14.4" outlineLevelRow="1" x14ac:dyDescent="0.3"/>
  <cols>
    <col min="1" max="1" width="22" customWidth="1"/>
    <col min="2" max="2" width="90.77734375" customWidth="1"/>
    <col min="3" max="3" width="9.21875" customWidth="1"/>
    <col min="4" max="4" width="8.6640625" customWidth="1"/>
    <col min="5" max="5" width="11.6640625" style="58" bestFit="1" customWidth="1"/>
  </cols>
  <sheetData>
    <row r="1" spans="1:6" s="54" customFormat="1" ht="29.4" customHeight="1" x14ac:dyDescent="0.4">
      <c r="A1" s="72" t="s">
        <v>61</v>
      </c>
      <c r="B1" s="72"/>
      <c r="C1" s="72"/>
      <c r="D1" s="72"/>
      <c r="E1" s="72"/>
    </row>
    <row r="2" spans="1:6" x14ac:dyDescent="0.3">
      <c r="A2" s="1" t="s">
        <v>62</v>
      </c>
      <c r="B2" s="1"/>
      <c r="C2" s="1"/>
      <c r="D2" s="1" t="s">
        <v>311</v>
      </c>
      <c r="E2" s="55">
        <v>1</v>
      </c>
    </row>
    <row r="3" spans="1:6" x14ac:dyDescent="0.3">
      <c r="A3" s="1"/>
      <c r="B3" s="1"/>
      <c r="C3" s="1"/>
      <c r="D3" s="1"/>
      <c r="E3" s="55"/>
    </row>
    <row r="4" spans="1:6" ht="20.399999999999999" x14ac:dyDescent="0.3">
      <c r="A4" s="2" t="s">
        <v>0</v>
      </c>
      <c r="B4" s="2" t="s">
        <v>1</v>
      </c>
      <c r="C4" s="2" t="s">
        <v>67</v>
      </c>
      <c r="D4" s="2" t="s">
        <v>36</v>
      </c>
      <c r="E4" s="56" t="s">
        <v>26</v>
      </c>
    </row>
    <row r="5" spans="1:6" x14ac:dyDescent="0.3">
      <c r="A5" s="73" t="s">
        <v>63</v>
      </c>
      <c r="B5" s="73"/>
      <c r="C5" s="73"/>
      <c r="D5" s="73"/>
      <c r="E5" s="73"/>
    </row>
    <row r="6" spans="1:6" hidden="1" outlineLevel="1" x14ac:dyDescent="0.3">
      <c r="A6" s="3" t="s">
        <v>70</v>
      </c>
      <c r="B6" s="3" t="s">
        <v>69</v>
      </c>
      <c r="C6" s="3" t="s">
        <v>68</v>
      </c>
      <c r="D6" s="5">
        <v>1</v>
      </c>
      <c r="E6" s="57">
        <f>3710*$E$2</f>
        <v>3710</v>
      </c>
      <c r="F6" s="60"/>
    </row>
    <row r="7" spans="1:6" hidden="1" outlineLevel="1" x14ac:dyDescent="0.3">
      <c r="A7" s="3" t="s">
        <v>76</v>
      </c>
      <c r="B7" s="3" t="s">
        <v>71</v>
      </c>
      <c r="C7" s="3" t="s">
        <v>68</v>
      </c>
      <c r="D7" s="5">
        <v>1</v>
      </c>
      <c r="E7" s="57">
        <f>2226*$E$2</f>
        <v>2226</v>
      </c>
      <c r="F7" s="60"/>
    </row>
    <row r="8" spans="1:6" hidden="1" outlineLevel="1" x14ac:dyDescent="0.3">
      <c r="A8" s="3" t="s">
        <v>74</v>
      </c>
      <c r="B8" s="3" t="s">
        <v>72</v>
      </c>
      <c r="C8" s="3" t="s">
        <v>68</v>
      </c>
      <c r="D8" s="5">
        <v>2</v>
      </c>
      <c r="E8" s="57">
        <f>4722*$E$2</f>
        <v>4722</v>
      </c>
      <c r="F8" s="60"/>
    </row>
    <row r="9" spans="1:6" hidden="1" outlineLevel="1" x14ac:dyDescent="0.3">
      <c r="A9" s="3" t="s">
        <v>75</v>
      </c>
      <c r="B9" s="3" t="s">
        <v>73</v>
      </c>
      <c r="C9" s="3" t="s">
        <v>68</v>
      </c>
      <c r="D9" s="5">
        <v>2</v>
      </c>
      <c r="E9" s="57">
        <f>2833*$E$2</f>
        <v>2833</v>
      </c>
      <c r="F9" s="60"/>
    </row>
    <row r="10" spans="1:6" hidden="1" outlineLevel="1" x14ac:dyDescent="0.3">
      <c r="A10" s="3" t="s">
        <v>79</v>
      </c>
      <c r="B10" s="3" t="s">
        <v>77</v>
      </c>
      <c r="C10" s="3" t="s">
        <v>68</v>
      </c>
      <c r="D10" s="5">
        <v>3</v>
      </c>
      <c r="E10" s="57">
        <f>6760*$E$2</f>
        <v>6760</v>
      </c>
      <c r="F10" s="60"/>
    </row>
    <row r="11" spans="1:6" hidden="1" outlineLevel="1" x14ac:dyDescent="0.3">
      <c r="A11" s="3" t="s">
        <v>80</v>
      </c>
      <c r="B11" s="3" t="s">
        <v>78</v>
      </c>
      <c r="C11" s="3" t="s">
        <v>68</v>
      </c>
      <c r="D11" s="5">
        <v>3</v>
      </c>
      <c r="E11" s="57">
        <f>4056*$E$2</f>
        <v>4056</v>
      </c>
      <c r="F11" s="60"/>
    </row>
    <row r="12" spans="1:6" hidden="1" outlineLevel="1" x14ac:dyDescent="0.3">
      <c r="A12" s="3" t="s">
        <v>83</v>
      </c>
      <c r="B12" s="3" t="s">
        <v>81</v>
      </c>
      <c r="C12" s="3" t="s">
        <v>68</v>
      </c>
      <c r="D12" s="5">
        <v>4</v>
      </c>
      <c r="E12" s="57">
        <f>8662*$E$2</f>
        <v>8662</v>
      </c>
      <c r="F12" s="60"/>
    </row>
    <row r="13" spans="1:6" hidden="1" outlineLevel="1" x14ac:dyDescent="0.3">
      <c r="A13" s="3" t="s">
        <v>84</v>
      </c>
      <c r="B13" s="3" t="s">
        <v>82</v>
      </c>
      <c r="C13" s="3" t="s">
        <v>68</v>
      </c>
      <c r="D13" s="5">
        <v>4</v>
      </c>
      <c r="E13" s="57">
        <f>5197*$E$2</f>
        <v>5197</v>
      </c>
      <c r="F13" s="60"/>
    </row>
    <row r="14" spans="1:6" hidden="1" outlineLevel="1" x14ac:dyDescent="0.3">
      <c r="A14" s="3" t="s">
        <v>86</v>
      </c>
      <c r="B14" s="3" t="s">
        <v>85</v>
      </c>
      <c r="C14" s="3" t="s">
        <v>68</v>
      </c>
      <c r="D14" s="5">
        <v>5</v>
      </c>
      <c r="E14" s="57">
        <f>10700*$E$2</f>
        <v>10700</v>
      </c>
      <c r="F14" s="60"/>
    </row>
    <row r="15" spans="1:6" hidden="1" outlineLevel="1" x14ac:dyDescent="0.3">
      <c r="A15" s="3" t="s">
        <v>88</v>
      </c>
      <c r="B15" s="3" t="s">
        <v>87</v>
      </c>
      <c r="C15" s="3" t="s">
        <v>68</v>
      </c>
      <c r="D15" s="5">
        <v>5</v>
      </c>
      <c r="E15" s="57">
        <f>6420*$E$2</f>
        <v>6420</v>
      </c>
      <c r="F15" s="60"/>
    </row>
    <row r="16" spans="1:6" hidden="1" outlineLevel="1" x14ac:dyDescent="0.3">
      <c r="A16" s="3" t="s">
        <v>111</v>
      </c>
      <c r="B16" s="3" t="s">
        <v>91</v>
      </c>
      <c r="C16" s="3" t="s">
        <v>89</v>
      </c>
      <c r="D16" s="5">
        <v>1</v>
      </c>
      <c r="E16" s="57">
        <f>5936*$E$2</f>
        <v>5936</v>
      </c>
      <c r="F16" s="60"/>
    </row>
    <row r="17" spans="1:6" hidden="1" outlineLevel="1" x14ac:dyDescent="0.3">
      <c r="A17" s="3" t="s">
        <v>121</v>
      </c>
      <c r="B17" s="3" t="s">
        <v>92</v>
      </c>
      <c r="C17" s="3" t="s">
        <v>89</v>
      </c>
      <c r="D17" s="5">
        <v>1</v>
      </c>
      <c r="E17" s="57">
        <f>4340*$E$2</f>
        <v>4340</v>
      </c>
      <c r="F17" s="60"/>
    </row>
    <row r="18" spans="1:6" hidden="1" outlineLevel="1" x14ac:dyDescent="0.3">
      <c r="A18" s="3" t="s">
        <v>112</v>
      </c>
      <c r="B18" s="3" t="s">
        <v>93</v>
      </c>
      <c r="C18" s="3" t="s">
        <v>89</v>
      </c>
      <c r="D18" s="5">
        <v>2</v>
      </c>
      <c r="E18" s="57">
        <f>7556*$E$2</f>
        <v>7556</v>
      </c>
      <c r="F18" s="60"/>
    </row>
    <row r="19" spans="1:6" hidden="1" outlineLevel="1" x14ac:dyDescent="0.3">
      <c r="A19" s="3" t="s">
        <v>122</v>
      </c>
      <c r="B19" s="3" t="s">
        <v>94</v>
      </c>
      <c r="C19" s="3" t="s">
        <v>89</v>
      </c>
      <c r="D19" s="5">
        <v>2</v>
      </c>
      <c r="E19" s="57">
        <f>5525*$E$2</f>
        <v>5525</v>
      </c>
      <c r="F19" s="60"/>
    </row>
    <row r="20" spans="1:6" hidden="1" outlineLevel="1" x14ac:dyDescent="0.3">
      <c r="A20" s="3" t="s">
        <v>113</v>
      </c>
      <c r="B20" s="3" t="s">
        <v>95</v>
      </c>
      <c r="C20" s="3" t="s">
        <v>89</v>
      </c>
      <c r="D20" s="5">
        <v>3</v>
      </c>
      <c r="E20" s="57">
        <f>10816*$E$2</f>
        <v>10816</v>
      </c>
      <c r="F20" s="60"/>
    </row>
    <row r="21" spans="1:6" hidden="1" outlineLevel="1" x14ac:dyDescent="0.3">
      <c r="A21" s="3" t="s">
        <v>123</v>
      </c>
      <c r="B21" s="3" t="s">
        <v>96</v>
      </c>
      <c r="C21" s="3" t="s">
        <v>89</v>
      </c>
      <c r="D21" s="5">
        <v>3</v>
      </c>
      <c r="E21" s="57">
        <f>7909*$E$2</f>
        <v>7909</v>
      </c>
      <c r="F21" s="60"/>
    </row>
    <row r="22" spans="1:6" hidden="1" outlineLevel="1" x14ac:dyDescent="0.3">
      <c r="A22" s="3" t="s">
        <v>114</v>
      </c>
      <c r="B22" s="3" t="s">
        <v>97</v>
      </c>
      <c r="C22" s="3" t="s">
        <v>89</v>
      </c>
      <c r="D22" s="5">
        <v>4</v>
      </c>
      <c r="E22" s="57">
        <f>13859*$E$2</f>
        <v>13859</v>
      </c>
      <c r="F22" s="60"/>
    </row>
    <row r="23" spans="1:6" hidden="1" outlineLevel="1" x14ac:dyDescent="0.3">
      <c r="A23" s="3" t="s">
        <v>124</v>
      </c>
      <c r="B23" s="3" t="s">
        <v>98</v>
      </c>
      <c r="C23" s="3" t="s">
        <v>89</v>
      </c>
      <c r="D23" s="5">
        <v>4</v>
      </c>
      <c r="E23" s="57">
        <f>10135*$E$2</f>
        <v>10135</v>
      </c>
      <c r="F23" s="60"/>
    </row>
    <row r="24" spans="1:6" hidden="1" outlineLevel="1" x14ac:dyDescent="0.3">
      <c r="A24" s="3" t="s">
        <v>115</v>
      </c>
      <c r="B24" s="3" t="s">
        <v>99</v>
      </c>
      <c r="C24" s="3" t="s">
        <v>89</v>
      </c>
      <c r="D24" s="5">
        <v>5</v>
      </c>
      <c r="E24" s="57">
        <f>17121*$E$2</f>
        <v>17121</v>
      </c>
      <c r="F24" s="60"/>
    </row>
    <row r="25" spans="1:6" hidden="1" outlineLevel="1" x14ac:dyDescent="0.3">
      <c r="A25" s="3" t="s">
        <v>125</v>
      </c>
      <c r="B25" s="3" t="s">
        <v>100</v>
      </c>
      <c r="C25" s="3" t="s">
        <v>89</v>
      </c>
      <c r="D25" s="5">
        <v>5</v>
      </c>
      <c r="E25" s="57">
        <f>12519*$E$2</f>
        <v>12519</v>
      </c>
      <c r="F25" s="60"/>
    </row>
    <row r="26" spans="1:6" hidden="1" outlineLevel="1" x14ac:dyDescent="0.3">
      <c r="A26" s="3" t="s">
        <v>116</v>
      </c>
      <c r="B26" s="3" t="s">
        <v>101</v>
      </c>
      <c r="C26" s="3" t="s">
        <v>90</v>
      </c>
      <c r="D26" s="5">
        <v>1</v>
      </c>
      <c r="E26" s="57">
        <f>8050*$E$2</f>
        <v>8050</v>
      </c>
      <c r="F26" s="60"/>
    </row>
    <row r="27" spans="1:6" hidden="1" outlineLevel="1" x14ac:dyDescent="0.3">
      <c r="A27" s="3" t="s">
        <v>126</v>
      </c>
      <c r="B27" s="3" t="s">
        <v>102</v>
      </c>
      <c r="C27" s="3" t="s">
        <v>90</v>
      </c>
      <c r="D27" s="5">
        <v>1</v>
      </c>
      <c r="E27" s="57">
        <f>6380*$E$2</f>
        <v>6380</v>
      </c>
      <c r="F27" s="60"/>
    </row>
    <row r="28" spans="1:6" hidden="1" outlineLevel="1" x14ac:dyDescent="0.3">
      <c r="A28" s="3" t="s">
        <v>117</v>
      </c>
      <c r="B28" s="3" t="s">
        <v>103</v>
      </c>
      <c r="C28" s="3" t="s">
        <v>90</v>
      </c>
      <c r="D28" s="5">
        <v>2</v>
      </c>
      <c r="E28" s="57">
        <f>10247*$E$2</f>
        <v>10247</v>
      </c>
      <c r="F28" s="60"/>
    </row>
    <row r="29" spans="1:6" hidden="1" outlineLevel="1" x14ac:dyDescent="0.3">
      <c r="A29" s="3" t="s">
        <v>127</v>
      </c>
      <c r="B29" s="3" t="s">
        <v>104</v>
      </c>
      <c r="C29" s="3" t="s">
        <v>90</v>
      </c>
      <c r="D29" s="5">
        <v>2</v>
      </c>
      <c r="E29" s="57">
        <f>8121*$E$2</f>
        <v>8121</v>
      </c>
      <c r="F29" s="60"/>
    </row>
    <row r="30" spans="1:6" hidden="1" outlineLevel="1" x14ac:dyDescent="0.3">
      <c r="A30" s="3" t="s">
        <v>118</v>
      </c>
      <c r="B30" s="3" t="s">
        <v>105</v>
      </c>
      <c r="C30" s="3" t="s">
        <v>90</v>
      </c>
      <c r="D30" s="5">
        <v>3</v>
      </c>
      <c r="E30" s="57">
        <f>14670*$E$2</f>
        <v>14670</v>
      </c>
      <c r="F30" s="60"/>
    </row>
    <row r="31" spans="1:6" hidden="1" outlineLevel="1" x14ac:dyDescent="0.3">
      <c r="A31" s="3" t="s">
        <v>128</v>
      </c>
      <c r="B31" s="3" t="s">
        <v>106</v>
      </c>
      <c r="C31" s="3" t="s">
        <v>90</v>
      </c>
      <c r="D31" s="5">
        <v>3</v>
      </c>
      <c r="E31" s="57">
        <f>11627*$E$2</f>
        <v>11627</v>
      </c>
      <c r="F31" s="60"/>
    </row>
    <row r="32" spans="1:6" hidden="1" outlineLevel="1" x14ac:dyDescent="0.3">
      <c r="A32" s="3" t="s">
        <v>119</v>
      </c>
      <c r="B32" s="3" t="s">
        <v>107</v>
      </c>
      <c r="C32" s="3" t="s">
        <v>90</v>
      </c>
      <c r="D32" s="5">
        <v>4</v>
      </c>
      <c r="E32" s="57">
        <f>18797*$E$2</f>
        <v>18797</v>
      </c>
      <c r="F32" s="60"/>
    </row>
    <row r="33" spans="1:6" hidden="1" outlineLevel="1" x14ac:dyDescent="0.3">
      <c r="A33" s="3" t="s">
        <v>129</v>
      </c>
      <c r="B33" s="3" t="s">
        <v>108</v>
      </c>
      <c r="C33" s="3" t="s">
        <v>90</v>
      </c>
      <c r="D33" s="5">
        <v>4</v>
      </c>
      <c r="E33" s="57">
        <f>14900*$E$2</f>
        <v>14900</v>
      </c>
      <c r="F33" s="60"/>
    </row>
    <row r="34" spans="1:6" hidden="1" outlineLevel="1" x14ac:dyDescent="0.3">
      <c r="A34" s="3" t="s">
        <v>120</v>
      </c>
      <c r="B34" s="3" t="s">
        <v>109</v>
      </c>
      <c r="C34" s="3" t="s">
        <v>90</v>
      </c>
      <c r="D34" s="5">
        <v>5</v>
      </c>
      <c r="E34" s="57">
        <f>23219*$E$2</f>
        <v>23219</v>
      </c>
      <c r="F34" s="60"/>
    </row>
    <row r="35" spans="1:6" hidden="1" outlineLevel="1" x14ac:dyDescent="0.3">
      <c r="A35" s="3" t="s">
        <v>130</v>
      </c>
      <c r="B35" s="3" t="s">
        <v>110</v>
      </c>
      <c r="C35" s="3" t="s">
        <v>90</v>
      </c>
      <c r="D35" s="5">
        <v>5</v>
      </c>
      <c r="E35" s="57">
        <f>18404*$E$2</f>
        <v>18404</v>
      </c>
      <c r="F35" s="60"/>
    </row>
    <row r="36" spans="1:6" collapsed="1" x14ac:dyDescent="0.3">
      <c r="A36" s="73" t="s">
        <v>64</v>
      </c>
      <c r="B36" s="73"/>
      <c r="C36" s="73"/>
      <c r="D36" s="73"/>
      <c r="E36" s="73"/>
      <c r="F36" s="60"/>
    </row>
    <row r="37" spans="1:6" hidden="1" outlineLevel="1" x14ac:dyDescent="0.3">
      <c r="A37" s="3" t="s">
        <v>133</v>
      </c>
      <c r="B37" s="3" t="s">
        <v>131</v>
      </c>
      <c r="C37" s="3" t="s">
        <v>68</v>
      </c>
      <c r="D37" s="5">
        <v>1</v>
      </c>
      <c r="E37" s="57">
        <f>7597*$E$2</f>
        <v>7597</v>
      </c>
      <c r="F37" s="60"/>
    </row>
    <row r="38" spans="1:6" hidden="1" outlineLevel="1" x14ac:dyDescent="0.3">
      <c r="A38" s="3" t="s">
        <v>134</v>
      </c>
      <c r="B38" s="3" t="s">
        <v>132</v>
      </c>
      <c r="C38" s="3" t="s">
        <v>68</v>
      </c>
      <c r="D38" s="5">
        <v>1</v>
      </c>
      <c r="E38" s="57">
        <f>4558*$E$2</f>
        <v>4558</v>
      </c>
      <c r="F38" s="60"/>
    </row>
    <row r="39" spans="1:6" hidden="1" outlineLevel="1" x14ac:dyDescent="0.3">
      <c r="A39" s="3" t="s">
        <v>143</v>
      </c>
      <c r="B39" s="3" t="s">
        <v>135</v>
      </c>
      <c r="C39" s="3" t="s">
        <v>68</v>
      </c>
      <c r="D39" s="5">
        <v>2</v>
      </c>
      <c r="E39" s="57">
        <f>9287*$E$2</f>
        <v>9287</v>
      </c>
      <c r="F39" s="60"/>
    </row>
    <row r="40" spans="1:6" hidden="1" outlineLevel="1" x14ac:dyDescent="0.3">
      <c r="A40" s="3" t="s">
        <v>144</v>
      </c>
      <c r="B40" s="3" t="s">
        <v>136</v>
      </c>
      <c r="C40" s="3" t="s">
        <v>68</v>
      </c>
      <c r="D40" s="5">
        <v>2</v>
      </c>
      <c r="E40" s="57">
        <f>5572*$E$2</f>
        <v>5572</v>
      </c>
      <c r="F40" s="60"/>
    </row>
    <row r="41" spans="1:6" hidden="1" outlineLevel="1" x14ac:dyDescent="0.3">
      <c r="A41" s="3" t="s">
        <v>145</v>
      </c>
      <c r="B41" s="3" t="s">
        <v>137</v>
      </c>
      <c r="C41" s="3" t="s">
        <v>68</v>
      </c>
      <c r="D41" s="5">
        <v>3</v>
      </c>
      <c r="E41" s="57">
        <f>12667*$E$2</f>
        <v>12667</v>
      </c>
      <c r="F41" s="60"/>
    </row>
    <row r="42" spans="1:6" hidden="1" outlineLevel="1" x14ac:dyDescent="0.3">
      <c r="A42" s="3" t="s">
        <v>146</v>
      </c>
      <c r="B42" s="3" t="s">
        <v>138</v>
      </c>
      <c r="C42" s="3" t="s">
        <v>68</v>
      </c>
      <c r="D42" s="5">
        <v>3</v>
      </c>
      <c r="E42" s="57">
        <f>7600*$E$2</f>
        <v>7600</v>
      </c>
      <c r="F42" s="60"/>
    </row>
    <row r="43" spans="1:6" hidden="1" outlineLevel="1" x14ac:dyDescent="0.3">
      <c r="A43" s="3" t="s">
        <v>147</v>
      </c>
      <c r="B43" s="3" t="s">
        <v>139</v>
      </c>
      <c r="C43" s="3" t="s">
        <v>68</v>
      </c>
      <c r="D43" s="5">
        <v>4</v>
      </c>
      <c r="E43" s="57">
        <f>15202*$E$2</f>
        <v>15202</v>
      </c>
      <c r="F43" s="60"/>
    </row>
    <row r="44" spans="1:6" hidden="1" outlineLevel="1" x14ac:dyDescent="0.3">
      <c r="A44" s="3" t="s">
        <v>148</v>
      </c>
      <c r="B44" s="3" t="s">
        <v>140</v>
      </c>
      <c r="C44" s="3" t="s">
        <v>68</v>
      </c>
      <c r="D44" s="5">
        <v>4</v>
      </c>
      <c r="E44" s="57">
        <f>9120*$E$2</f>
        <v>9120</v>
      </c>
      <c r="F44" s="60"/>
    </row>
    <row r="45" spans="1:6" hidden="1" outlineLevel="1" x14ac:dyDescent="0.3">
      <c r="A45" s="3" t="s">
        <v>149</v>
      </c>
      <c r="B45" s="3" t="s">
        <v>141</v>
      </c>
      <c r="C45" s="3" t="s">
        <v>68</v>
      </c>
      <c r="D45" s="5">
        <v>5</v>
      </c>
      <c r="E45" s="57">
        <f>16892*$E$2</f>
        <v>16892</v>
      </c>
      <c r="F45" s="60"/>
    </row>
    <row r="46" spans="1:6" hidden="1" outlineLevel="1" x14ac:dyDescent="0.3">
      <c r="A46" s="3" t="s">
        <v>150</v>
      </c>
      <c r="B46" s="3" t="s">
        <v>142</v>
      </c>
      <c r="C46" s="3" t="s">
        <v>68</v>
      </c>
      <c r="D46" s="5">
        <v>5</v>
      </c>
      <c r="E46" s="57">
        <f>10135*$E$2</f>
        <v>10135</v>
      </c>
      <c r="F46" s="60"/>
    </row>
    <row r="47" spans="1:6" hidden="1" outlineLevel="1" x14ac:dyDescent="0.3">
      <c r="A47" s="3" t="s">
        <v>171</v>
      </c>
      <c r="B47" s="3" t="s">
        <v>151</v>
      </c>
      <c r="C47" s="3" t="s">
        <v>89</v>
      </c>
      <c r="D47" s="5">
        <v>1</v>
      </c>
      <c r="E47" s="57">
        <f>10977*$E$2</f>
        <v>10977</v>
      </c>
      <c r="F47" s="60"/>
    </row>
    <row r="48" spans="1:6" hidden="1" outlineLevel="1" x14ac:dyDescent="0.3">
      <c r="A48" s="3" t="s">
        <v>172</v>
      </c>
      <c r="B48" s="3" t="s">
        <v>152</v>
      </c>
      <c r="C48" s="3" t="s">
        <v>89</v>
      </c>
      <c r="D48" s="5">
        <v>1</v>
      </c>
      <c r="E48" s="57">
        <f>6586*$E$2</f>
        <v>6586</v>
      </c>
      <c r="F48" s="60"/>
    </row>
    <row r="49" spans="1:6" hidden="1" outlineLevel="1" x14ac:dyDescent="0.3">
      <c r="A49" s="3" t="s">
        <v>173</v>
      </c>
      <c r="B49" s="3" t="s">
        <v>153</v>
      </c>
      <c r="C49" s="3" t="s">
        <v>89</v>
      </c>
      <c r="D49" s="5">
        <v>2</v>
      </c>
      <c r="E49" s="57">
        <f>12667*$E$2</f>
        <v>12667</v>
      </c>
      <c r="F49" s="60"/>
    </row>
    <row r="50" spans="1:6" hidden="1" outlineLevel="1" x14ac:dyDescent="0.3">
      <c r="A50" s="3" t="s">
        <v>174</v>
      </c>
      <c r="B50" s="3" t="s">
        <v>154</v>
      </c>
      <c r="C50" s="3" t="s">
        <v>89</v>
      </c>
      <c r="D50" s="5">
        <v>2</v>
      </c>
      <c r="E50" s="57">
        <f>7600*$E$2</f>
        <v>7600</v>
      </c>
      <c r="F50" s="60"/>
    </row>
    <row r="51" spans="1:6" hidden="1" outlineLevel="1" x14ac:dyDescent="0.3">
      <c r="A51" s="3" t="s">
        <v>175</v>
      </c>
      <c r="B51" s="3" t="s">
        <v>155</v>
      </c>
      <c r="C51" s="3" t="s">
        <v>89</v>
      </c>
      <c r="D51" s="5">
        <v>3</v>
      </c>
      <c r="E51" s="57">
        <f>15202*$E$2</f>
        <v>15202</v>
      </c>
      <c r="F51" s="60"/>
    </row>
    <row r="52" spans="1:6" hidden="1" outlineLevel="1" x14ac:dyDescent="0.3">
      <c r="A52" s="3" t="s">
        <v>176</v>
      </c>
      <c r="B52" s="3" t="s">
        <v>156</v>
      </c>
      <c r="C52" s="3" t="s">
        <v>89</v>
      </c>
      <c r="D52" s="5">
        <v>3</v>
      </c>
      <c r="E52" s="57">
        <f>9120*$E$2</f>
        <v>9120</v>
      </c>
      <c r="F52" s="60"/>
    </row>
    <row r="53" spans="1:6" hidden="1" outlineLevel="1" x14ac:dyDescent="0.3">
      <c r="A53" s="3" t="s">
        <v>177</v>
      </c>
      <c r="B53" s="3" t="s">
        <v>157</v>
      </c>
      <c r="C53" s="3" t="s">
        <v>89</v>
      </c>
      <c r="D53" s="5">
        <v>4</v>
      </c>
      <c r="E53" s="57">
        <f>16892*$E$2</f>
        <v>16892</v>
      </c>
      <c r="F53" s="60"/>
    </row>
    <row r="54" spans="1:6" hidden="1" outlineLevel="1" x14ac:dyDescent="0.3">
      <c r="A54" s="3" t="s">
        <v>178</v>
      </c>
      <c r="B54" s="3" t="s">
        <v>158</v>
      </c>
      <c r="C54" s="3" t="s">
        <v>89</v>
      </c>
      <c r="D54" s="5">
        <v>4</v>
      </c>
      <c r="E54" s="57">
        <f>10135*$E$2</f>
        <v>10135</v>
      </c>
      <c r="F54" s="60"/>
    </row>
    <row r="55" spans="1:6" hidden="1" outlineLevel="1" x14ac:dyDescent="0.3">
      <c r="A55" s="3" t="s">
        <v>179</v>
      </c>
      <c r="B55" s="3" t="s">
        <v>159</v>
      </c>
      <c r="C55" s="3" t="s">
        <v>89</v>
      </c>
      <c r="D55" s="5">
        <v>5</v>
      </c>
      <c r="E55" s="57">
        <f>19427*$E$2</f>
        <v>19427</v>
      </c>
      <c r="F55" s="60"/>
    </row>
    <row r="56" spans="1:6" hidden="1" outlineLevel="1" x14ac:dyDescent="0.3">
      <c r="A56" s="3" t="s">
        <v>180</v>
      </c>
      <c r="B56" s="3" t="s">
        <v>160</v>
      </c>
      <c r="C56" s="3" t="s">
        <v>89</v>
      </c>
      <c r="D56" s="5">
        <v>5</v>
      </c>
      <c r="E56" s="57">
        <f>11656*$E$2</f>
        <v>11656</v>
      </c>
      <c r="F56" s="60"/>
    </row>
    <row r="57" spans="1:6" hidden="1" outlineLevel="1" x14ac:dyDescent="0.3">
      <c r="A57" s="3" t="s">
        <v>181</v>
      </c>
      <c r="B57" s="3" t="s">
        <v>161</v>
      </c>
      <c r="C57" s="3" t="s">
        <v>90</v>
      </c>
      <c r="D57" s="5">
        <v>1</v>
      </c>
      <c r="E57" s="57">
        <f>12667*$E$2</f>
        <v>12667</v>
      </c>
      <c r="F57" s="60"/>
    </row>
    <row r="58" spans="1:6" hidden="1" outlineLevel="1" x14ac:dyDescent="0.3">
      <c r="A58" s="3" t="s">
        <v>182</v>
      </c>
      <c r="B58" s="3" t="s">
        <v>162</v>
      </c>
      <c r="C58" s="3" t="s">
        <v>90</v>
      </c>
      <c r="D58" s="5">
        <v>1</v>
      </c>
      <c r="E58" s="57">
        <f>7600*$E$2</f>
        <v>7600</v>
      </c>
      <c r="F58" s="60"/>
    </row>
    <row r="59" spans="1:6" hidden="1" outlineLevel="1" x14ac:dyDescent="0.3">
      <c r="A59" s="3" t="s">
        <v>183</v>
      </c>
      <c r="B59" s="3" t="s">
        <v>163</v>
      </c>
      <c r="C59" s="3" t="s">
        <v>90</v>
      </c>
      <c r="D59" s="5">
        <v>2</v>
      </c>
      <c r="E59" s="57">
        <f>15202*$E$2</f>
        <v>15202</v>
      </c>
      <c r="F59" s="60"/>
    </row>
    <row r="60" spans="1:6" hidden="1" outlineLevel="1" x14ac:dyDescent="0.3">
      <c r="A60" s="3" t="s">
        <v>184</v>
      </c>
      <c r="B60" s="3" t="s">
        <v>164</v>
      </c>
      <c r="C60" s="3" t="s">
        <v>90</v>
      </c>
      <c r="D60" s="5">
        <v>2</v>
      </c>
      <c r="E60" s="57">
        <f>9120*$E$2</f>
        <v>9120</v>
      </c>
      <c r="F60" s="60"/>
    </row>
    <row r="61" spans="1:6" hidden="1" outlineLevel="1" x14ac:dyDescent="0.3">
      <c r="A61" s="3" t="s">
        <v>185</v>
      </c>
      <c r="B61" s="3" t="s">
        <v>165</v>
      </c>
      <c r="C61" s="3" t="s">
        <v>90</v>
      </c>
      <c r="D61" s="5">
        <v>3</v>
      </c>
      <c r="E61" s="57">
        <f>16982*$E$2</f>
        <v>16982</v>
      </c>
      <c r="F61" s="60"/>
    </row>
    <row r="62" spans="1:6" hidden="1" outlineLevel="1" x14ac:dyDescent="0.3">
      <c r="A62" s="3" t="s">
        <v>186</v>
      </c>
      <c r="B62" s="3" t="s">
        <v>166</v>
      </c>
      <c r="C62" s="3" t="s">
        <v>90</v>
      </c>
      <c r="D62" s="5">
        <v>3</v>
      </c>
      <c r="E62" s="57">
        <f>10135*$E$2</f>
        <v>10135</v>
      </c>
      <c r="F62" s="60"/>
    </row>
    <row r="63" spans="1:6" hidden="1" outlineLevel="1" x14ac:dyDescent="0.3">
      <c r="A63" s="3" t="s">
        <v>187</v>
      </c>
      <c r="B63" s="3" t="s">
        <v>167</v>
      </c>
      <c r="C63" s="3" t="s">
        <v>90</v>
      </c>
      <c r="D63" s="5">
        <v>4</v>
      </c>
      <c r="E63" s="57">
        <f>19427*$E$2</f>
        <v>19427</v>
      </c>
      <c r="F63" s="60"/>
    </row>
    <row r="64" spans="1:6" hidden="1" outlineLevel="1" x14ac:dyDescent="0.3">
      <c r="A64" s="3" t="s">
        <v>188</v>
      </c>
      <c r="B64" s="3" t="s">
        <v>168</v>
      </c>
      <c r="C64" s="3" t="s">
        <v>90</v>
      </c>
      <c r="D64" s="5">
        <v>4</v>
      </c>
      <c r="E64" s="57">
        <f>11656*$E$2</f>
        <v>11656</v>
      </c>
      <c r="F64" s="60"/>
    </row>
    <row r="65" spans="1:6" hidden="1" outlineLevel="1" x14ac:dyDescent="0.3">
      <c r="A65" s="3" t="s">
        <v>189</v>
      </c>
      <c r="B65" s="3" t="s">
        <v>169</v>
      </c>
      <c r="C65" s="3" t="s">
        <v>90</v>
      </c>
      <c r="D65" s="5">
        <v>5</v>
      </c>
      <c r="E65" s="57">
        <f>21962*$E$2</f>
        <v>21962</v>
      </c>
      <c r="F65" s="60"/>
    </row>
    <row r="66" spans="1:6" hidden="1" outlineLevel="1" x14ac:dyDescent="0.3">
      <c r="A66" s="3" t="s">
        <v>190</v>
      </c>
      <c r="B66" s="3" t="s">
        <v>170</v>
      </c>
      <c r="C66" s="3" t="s">
        <v>90</v>
      </c>
      <c r="D66" s="5">
        <v>5</v>
      </c>
      <c r="E66" s="57">
        <f>13177*$E$2</f>
        <v>13177</v>
      </c>
      <c r="F66" s="60"/>
    </row>
    <row r="67" spans="1:6" collapsed="1" x14ac:dyDescent="0.3">
      <c r="A67" s="73" t="s">
        <v>65</v>
      </c>
      <c r="B67" s="73"/>
      <c r="C67" s="73"/>
      <c r="D67" s="73"/>
      <c r="E67" s="73"/>
      <c r="F67" s="60"/>
    </row>
    <row r="68" spans="1:6" hidden="1" outlineLevel="1" x14ac:dyDescent="0.3">
      <c r="A68" s="3" t="s">
        <v>221</v>
      </c>
      <c r="B68" s="3" t="s">
        <v>220</v>
      </c>
      <c r="C68" s="3" t="s">
        <v>68</v>
      </c>
      <c r="D68" s="5">
        <v>1</v>
      </c>
      <c r="E68" s="57">
        <f>5485*$E$2</f>
        <v>5485</v>
      </c>
      <c r="F68" s="60"/>
    </row>
    <row r="69" spans="1:6" hidden="1" outlineLevel="1" x14ac:dyDescent="0.3">
      <c r="A69" s="3" t="s">
        <v>222</v>
      </c>
      <c r="B69" s="3" t="s">
        <v>191</v>
      </c>
      <c r="C69" s="3" t="s">
        <v>68</v>
      </c>
      <c r="D69" s="5">
        <v>1</v>
      </c>
      <c r="E69" s="57">
        <f>3290*$E$2</f>
        <v>3290</v>
      </c>
      <c r="F69" s="60"/>
    </row>
    <row r="70" spans="1:6" hidden="1" outlineLevel="1" x14ac:dyDescent="0.3">
      <c r="A70" s="3" t="s">
        <v>223</v>
      </c>
      <c r="B70" s="3" t="s">
        <v>192</v>
      </c>
      <c r="C70" s="3" t="s">
        <v>68</v>
      </c>
      <c r="D70" s="5">
        <v>2</v>
      </c>
      <c r="E70" s="57">
        <f>5485*$E$2</f>
        <v>5485</v>
      </c>
      <c r="F70" s="60"/>
    </row>
    <row r="71" spans="1:6" hidden="1" outlineLevel="1" x14ac:dyDescent="0.3">
      <c r="A71" s="3" t="s">
        <v>224</v>
      </c>
      <c r="B71" s="3" t="s">
        <v>193</v>
      </c>
      <c r="C71" s="3" t="s">
        <v>68</v>
      </c>
      <c r="D71" s="5">
        <v>2</v>
      </c>
      <c r="E71" s="57">
        <f>3290*$E$2</f>
        <v>3290</v>
      </c>
      <c r="F71" s="60"/>
    </row>
    <row r="72" spans="1:6" hidden="1" outlineLevel="1" x14ac:dyDescent="0.3">
      <c r="A72" s="3" t="s">
        <v>225</v>
      </c>
      <c r="B72" s="3" t="s">
        <v>194</v>
      </c>
      <c r="C72" s="3" t="s">
        <v>68</v>
      </c>
      <c r="D72" s="5">
        <v>3</v>
      </c>
      <c r="E72" s="57">
        <f>7892*$E$2</f>
        <v>7892</v>
      </c>
      <c r="F72" s="60"/>
    </row>
    <row r="73" spans="1:6" hidden="1" outlineLevel="1" x14ac:dyDescent="0.3">
      <c r="A73" s="3" t="s">
        <v>226</v>
      </c>
      <c r="B73" s="3" t="s">
        <v>195</v>
      </c>
      <c r="C73" s="3" t="s">
        <v>68</v>
      </c>
      <c r="D73" s="5">
        <v>3</v>
      </c>
      <c r="E73" s="57">
        <f>4735*$E$2</f>
        <v>4735</v>
      </c>
      <c r="F73" s="60"/>
    </row>
    <row r="74" spans="1:6" hidden="1" outlineLevel="1" x14ac:dyDescent="0.3">
      <c r="A74" s="3" t="s">
        <v>227</v>
      </c>
      <c r="B74" s="3" t="s">
        <v>196</v>
      </c>
      <c r="C74" s="3" t="s">
        <v>68</v>
      </c>
      <c r="D74" s="5">
        <v>4</v>
      </c>
      <c r="E74" s="57">
        <f>10060*$E$2</f>
        <v>10060</v>
      </c>
      <c r="F74" s="60"/>
    </row>
    <row r="75" spans="1:6" hidden="1" outlineLevel="1" x14ac:dyDescent="0.3">
      <c r="A75" s="3" t="s">
        <v>228</v>
      </c>
      <c r="B75" s="3" t="s">
        <v>197</v>
      </c>
      <c r="C75" s="3" t="s">
        <v>68</v>
      </c>
      <c r="D75" s="5">
        <v>4</v>
      </c>
      <c r="E75" s="57">
        <f>6036*$E$2</f>
        <v>6036</v>
      </c>
      <c r="F75" s="60"/>
    </row>
    <row r="76" spans="1:6" hidden="1" outlineLevel="1" x14ac:dyDescent="0.3">
      <c r="A76" s="3" t="s">
        <v>229</v>
      </c>
      <c r="B76" s="3" t="s">
        <v>198</v>
      </c>
      <c r="C76" s="3" t="s">
        <v>68</v>
      </c>
      <c r="D76" s="5">
        <v>5</v>
      </c>
      <c r="E76" s="57">
        <f>12229*$E$2</f>
        <v>12229</v>
      </c>
      <c r="F76" s="60"/>
    </row>
    <row r="77" spans="1:6" hidden="1" outlineLevel="1" x14ac:dyDescent="0.3">
      <c r="A77" s="3" t="s">
        <v>230</v>
      </c>
      <c r="B77" s="3" t="s">
        <v>199</v>
      </c>
      <c r="C77" s="3" t="s">
        <v>68</v>
      </c>
      <c r="D77" s="5">
        <v>5</v>
      </c>
      <c r="E77" s="57">
        <f>7337*$E$2</f>
        <v>7337</v>
      </c>
      <c r="F77" s="60"/>
    </row>
    <row r="78" spans="1:6" hidden="1" outlineLevel="1" x14ac:dyDescent="0.3">
      <c r="A78" s="3" t="s">
        <v>231</v>
      </c>
      <c r="B78" s="3" t="s">
        <v>200</v>
      </c>
      <c r="C78" s="3" t="s">
        <v>89</v>
      </c>
      <c r="D78" s="5">
        <v>1</v>
      </c>
      <c r="E78" s="57">
        <f>7423*$E$2</f>
        <v>7423</v>
      </c>
      <c r="F78" s="60"/>
    </row>
    <row r="79" spans="1:6" hidden="1" outlineLevel="1" x14ac:dyDescent="0.3">
      <c r="A79" s="3" t="s">
        <v>232</v>
      </c>
      <c r="B79" s="3" t="s">
        <v>201</v>
      </c>
      <c r="C79" s="3" t="s">
        <v>89</v>
      </c>
      <c r="D79" s="5">
        <v>1</v>
      </c>
      <c r="E79" s="57">
        <f>5428*$E$2</f>
        <v>5428</v>
      </c>
      <c r="F79" s="60"/>
    </row>
    <row r="80" spans="1:6" hidden="1" outlineLevel="1" x14ac:dyDescent="0.3">
      <c r="A80" s="3" t="s">
        <v>233</v>
      </c>
      <c r="B80" s="3" t="s">
        <v>202</v>
      </c>
      <c r="C80" s="3" t="s">
        <v>89</v>
      </c>
      <c r="D80" s="5">
        <v>2</v>
      </c>
      <c r="E80" s="57">
        <f>10396*$E$2</f>
        <v>10396</v>
      </c>
      <c r="F80" s="60"/>
    </row>
    <row r="81" spans="1:6" hidden="1" outlineLevel="1" x14ac:dyDescent="0.3">
      <c r="A81" s="3" t="s">
        <v>234</v>
      </c>
      <c r="B81" s="3" t="s">
        <v>203</v>
      </c>
      <c r="C81" s="3" t="s">
        <v>89</v>
      </c>
      <c r="D81" s="5">
        <v>2</v>
      </c>
      <c r="E81" s="57">
        <f>7602*$E$2</f>
        <v>7602</v>
      </c>
      <c r="F81" s="60"/>
    </row>
    <row r="82" spans="1:6" hidden="1" outlineLevel="1" x14ac:dyDescent="0.3">
      <c r="A82" s="3" t="s">
        <v>235</v>
      </c>
      <c r="B82" s="3" t="s">
        <v>204</v>
      </c>
      <c r="C82" s="3" t="s">
        <v>89</v>
      </c>
      <c r="D82" s="5">
        <v>3</v>
      </c>
      <c r="E82" s="57">
        <f>9234*$E$2</f>
        <v>9234</v>
      </c>
      <c r="F82" s="60"/>
    </row>
    <row r="83" spans="1:6" hidden="1" outlineLevel="1" x14ac:dyDescent="0.3">
      <c r="A83" s="3" t="s">
        <v>236</v>
      </c>
      <c r="B83" s="3" t="s">
        <v>205</v>
      </c>
      <c r="C83" s="3" t="s">
        <v>89</v>
      </c>
      <c r="D83" s="5">
        <v>3</v>
      </c>
      <c r="E83" s="57">
        <f>12627*$E$2</f>
        <v>12627</v>
      </c>
      <c r="F83" s="60"/>
    </row>
    <row r="84" spans="1:6" hidden="1" outlineLevel="1" x14ac:dyDescent="0.3">
      <c r="A84" s="3" t="s">
        <v>237</v>
      </c>
      <c r="B84" s="3" t="s">
        <v>206</v>
      </c>
      <c r="C84" s="3" t="s">
        <v>89</v>
      </c>
      <c r="D84" s="5">
        <v>4</v>
      </c>
      <c r="E84" s="57">
        <f>16097*$E$2</f>
        <v>16097</v>
      </c>
      <c r="F84" s="60"/>
    </row>
    <row r="85" spans="1:6" hidden="1" outlineLevel="1" x14ac:dyDescent="0.3">
      <c r="A85" s="3" t="s">
        <v>238</v>
      </c>
      <c r="B85" s="3" t="s">
        <v>207</v>
      </c>
      <c r="C85" s="3" t="s">
        <v>89</v>
      </c>
      <c r="D85" s="5">
        <v>4</v>
      </c>
      <c r="E85" s="57">
        <f>11770*$E$2</f>
        <v>11770</v>
      </c>
      <c r="F85" s="60"/>
    </row>
    <row r="86" spans="1:6" hidden="1" outlineLevel="1" x14ac:dyDescent="0.3">
      <c r="A86" s="3" t="s">
        <v>239</v>
      </c>
      <c r="B86" s="3" t="s">
        <v>208</v>
      </c>
      <c r="C86" s="3" t="s">
        <v>89</v>
      </c>
      <c r="D86" s="5">
        <v>5</v>
      </c>
      <c r="E86" s="57">
        <f>19566*$E$2</f>
        <v>19566</v>
      </c>
      <c r="F86" s="60"/>
    </row>
    <row r="87" spans="1:6" hidden="1" outlineLevel="1" x14ac:dyDescent="0.3">
      <c r="A87" s="3" t="s">
        <v>240</v>
      </c>
      <c r="B87" s="3" t="s">
        <v>209</v>
      </c>
      <c r="C87" s="3" t="s">
        <v>89</v>
      </c>
      <c r="D87" s="5">
        <v>5</v>
      </c>
      <c r="E87" s="57">
        <f>14308*$E$2</f>
        <v>14308</v>
      </c>
      <c r="F87" s="60"/>
    </row>
    <row r="88" spans="1:6" hidden="1" outlineLevel="1" x14ac:dyDescent="0.3">
      <c r="A88" s="3" t="s">
        <v>241</v>
      </c>
      <c r="B88" s="3" t="s">
        <v>210</v>
      </c>
      <c r="C88" s="3" t="s">
        <v>90</v>
      </c>
      <c r="D88" s="5">
        <v>1</v>
      </c>
      <c r="E88" s="57">
        <f>10067*$E$2</f>
        <v>10067</v>
      </c>
      <c r="F88" s="60"/>
    </row>
    <row r="89" spans="1:6" hidden="1" outlineLevel="1" x14ac:dyDescent="0.3">
      <c r="A89" s="3" t="s">
        <v>242</v>
      </c>
      <c r="B89" s="3" t="s">
        <v>211</v>
      </c>
      <c r="C89" s="3" t="s">
        <v>90</v>
      </c>
      <c r="D89" s="5">
        <v>1</v>
      </c>
      <c r="E89" s="57">
        <f>7979*$E$2</f>
        <v>7979</v>
      </c>
      <c r="F89" s="60"/>
    </row>
    <row r="90" spans="1:6" hidden="1" outlineLevel="1" x14ac:dyDescent="0.3">
      <c r="A90" s="3" t="s">
        <v>243</v>
      </c>
      <c r="B90" s="3" t="s">
        <v>212</v>
      </c>
      <c r="C90" s="3" t="s">
        <v>90</v>
      </c>
      <c r="D90" s="5">
        <v>2</v>
      </c>
      <c r="E90" s="57">
        <f>14100*$E$2</f>
        <v>14100</v>
      </c>
      <c r="F90" s="60"/>
    </row>
    <row r="91" spans="1:6" hidden="1" outlineLevel="1" x14ac:dyDescent="0.3">
      <c r="A91" s="3" t="s">
        <v>244</v>
      </c>
      <c r="B91" s="3" t="s">
        <v>213</v>
      </c>
      <c r="C91" s="3" t="s">
        <v>90</v>
      </c>
      <c r="D91" s="5">
        <v>2</v>
      </c>
      <c r="E91" s="57">
        <f>11176*$E$2</f>
        <v>11176</v>
      </c>
      <c r="F91" s="60"/>
    </row>
    <row r="92" spans="1:6" hidden="1" outlineLevel="1" x14ac:dyDescent="0.3">
      <c r="A92" s="3" t="s">
        <v>245</v>
      </c>
      <c r="B92" s="3" t="s">
        <v>214</v>
      </c>
      <c r="C92" s="3" t="s">
        <v>90</v>
      </c>
      <c r="D92" s="5">
        <v>3</v>
      </c>
      <c r="E92" s="57">
        <f>17125*$E$2</f>
        <v>17125</v>
      </c>
      <c r="F92" s="60"/>
    </row>
    <row r="93" spans="1:6" hidden="1" outlineLevel="1" x14ac:dyDescent="0.3">
      <c r="A93" s="3" t="s">
        <v>246</v>
      </c>
      <c r="B93" s="3" t="s">
        <v>215</v>
      </c>
      <c r="C93" s="3" t="s">
        <v>90</v>
      </c>
      <c r="D93" s="5">
        <v>3</v>
      </c>
      <c r="E93" s="57">
        <f>13573*$E$2</f>
        <v>13573</v>
      </c>
      <c r="F93" s="60"/>
    </row>
    <row r="94" spans="1:6" hidden="1" outlineLevel="1" x14ac:dyDescent="0.3">
      <c r="A94" s="3" t="s">
        <v>247</v>
      </c>
      <c r="B94" s="3" t="s">
        <v>216</v>
      </c>
      <c r="C94" s="3" t="s">
        <v>90</v>
      </c>
      <c r="D94" s="5">
        <v>4</v>
      </c>
      <c r="E94" s="57">
        <f>21830*$E$2</f>
        <v>21830</v>
      </c>
      <c r="F94" s="60"/>
    </row>
    <row r="95" spans="1:6" hidden="1" outlineLevel="1" x14ac:dyDescent="0.3">
      <c r="A95" s="3" t="s">
        <v>248</v>
      </c>
      <c r="B95" s="3" t="s">
        <v>217</v>
      </c>
      <c r="C95" s="3" t="s">
        <v>90</v>
      </c>
      <c r="D95" s="5">
        <v>4</v>
      </c>
      <c r="E95" s="57">
        <f>17304*$E$2</f>
        <v>17304</v>
      </c>
      <c r="F95" s="60"/>
    </row>
    <row r="96" spans="1:6" hidden="1" outlineLevel="1" x14ac:dyDescent="0.3">
      <c r="A96" s="3" t="s">
        <v>249</v>
      </c>
      <c r="B96" s="3" t="s">
        <v>218</v>
      </c>
      <c r="C96" s="3" t="s">
        <v>90</v>
      </c>
      <c r="D96" s="5">
        <v>5</v>
      </c>
      <c r="E96" s="57">
        <f>26537*$E$2</f>
        <v>26537</v>
      </c>
      <c r="F96" s="60"/>
    </row>
    <row r="97" spans="1:6" hidden="1" outlineLevel="1" x14ac:dyDescent="0.3">
      <c r="A97" s="3" t="s">
        <v>250</v>
      </c>
      <c r="B97" s="3" t="s">
        <v>219</v>
      </c>
      <c r="C97" s="3" t="s">
        <v>90</v>
      </c>
      <c r="D97" s="5">
        <v>5</v>
      </c>
      <c r="E97" s="57">
        <f>21034*$E$2</f>
        <v>21034</v>
      </c>
      <c r="F97" s="60"/>
    </row>
    <row r="98" spans="1:6" collapsed="1" x14ac:dyDescent="0.3">
      <c r="A98" s="73" t="s">
        <v>66</v>
      </c>
      <c r="B98" s="73"/>
      <c r="C98" s="73"/>
      <c r="D98" s="73"/>
      <c r="E98" s="73"/>
      <c r="F98" s="60"/>
    </row>
    <row r="99" spans="1:6" hidden="1" outlineLevel="1" x14ac:dyDescent="0.3">
      <c r="A99" s="3" t="s">
        <v>266</v>
      </c>
      <c r="B99" s="3" t="s">
        <v>251</v>
      </c>
      <c r="C99" s="3" t="s">
        <v>68</v>
      </c>
      <c r="D99" s="5">
        <v>1</v>
      </c>
      <c r="E99" s="57">
        <f>3203*$E$2</f>
        <v>3203</v>
      </c>
      <c r="F99" s="60"/>
    </row>
    <row r="100" spans="1:6" hidden="1" outlineLevel="1" x14ac:dyDescent="0.3">
      <c r="A100" s="3" t="s">
        <v>267</v>
      </c>
      <c r="B100" s="3" t="s">
        <v>252</v>
      </c>
      <c r="C100" s="3" t="s">
        <v>68</v>
      </c>
      <c r="D100" s="5">
        <v>2</v>
      </c>
      <c r="E100" s="57">
        <f>3372*$E$2</f>
        <v>3372</v>
      </c>
    </row>
    <row r="101" spans="1:6" hidden="1" outlineLevel="1" x14ac:dyDescent="0.3">
      <c r="A101" s="3" t="s">
        <v>268</v>
      </c>
      <c r="B101" s="3" t="s">
        <v>253</v>
      </c>
      <c r="C101" s="3" t="s">
        <v>68</v>
      </c>
      <c r="D101" s="5">
        <v>3</v>
      </c>
      <c r="E101" s="57">
        <f>4048*$E$2</f>
        <v>4048</v>
      </c>
    </row>
    <row r="102" spans="1:6" hidden="1" outlineLevel="1" x14ac:dyDescent="0.3">
      <c r="A102" s="3" t="s">
        <v>269</v>
      </c>
      <c r="B102" s="3" t="s">
        <v>254</v>
      </c>
      <c r="C102" s="3" t="s">
        <v>68</v>
      </c>
      <c r="D102" s="5">
        <v>4</v>
      </c>
      <c r="E102" s="57">
        <f>5062*$E$2</f>
        <v>5062</v>
      </c>
    </row>
    <row r="103" spans="1:6" hidden="1" outlineLevel="1" x14ac:dyDescent="0.3">
      <c r="A103" s="3" t="s">
        <v>270</v>
      </c>
      <c r="B103" s="3" t="s">
        <v>255</v>
      </c>
      <c r="C103" s="3" t="s">
        <v>68</v>
      </c>
      <c r="D103" s="5">
        <v>5</v>
      </c>
      <c r="E103" s="57">
        <f>6330*$E$2</f>
        <v>6330</v>
      </c>
    </row>
    <row r="104" spans="1:6" hidden="1" outlineLevel="1" x14ac:dyDescent="0.3">
      <c r="A104" s="3" t="s">
        <v>271</v>
      </c>
      <c r="B104" s="3" t="s">
        <v>256</v>
      </c>
      <c r="C104" s="3" t="s">
        <v>89</v>
      </c>
      <c r="D104" s="5">
        <v>1</v>
      </c>
      <c r="E104" s="57">
        <f>3795*$E$2</f>
        <v>3795</v>
      </c>
    </row>
    <row r="105" spans="1:6" hidden="1" outlineLevel="1" x14ac:dyDescent="0.3">
      <c r="A105" s="3" t="s">
        <v>272</v>
      </c>
      <c r="B105" s="3" t="s">
        <v>257</v>
      </c>
      <c r="C105" s="3" t="s">
        <v>89</v>
      </c>
      <c r="D105" s="5">
        <v>2</v>
      </c>
      <c r="E105" s="57">
        <f>4217*$E$2</f>
        <v>4217</v>
      </c>
    </row>
    <row r="106" spans="1:6" hidden="1" outlineLevel="1" x14ac:dyDescent="0.3">
      <c r="A106" s="3" t="s">
        <v>273</v>
      </c>
      <c r="B106" s="3" t="s">
        <v>258</v>
      </c>
      <c r="C106" s="3" t="s">
        <v>89</v>
      </c>
      <c r="D106" s="5">
        <v>3</v>
      </c>
      <c r="E106" s="57">
        <f>4893*$E$2</f>
        <v>4893</v>
      </c>
    </row>
    <row r="107" spans="1:6" hidden="1" outlineLevel="1" x14ac:dyDescent="0.3">
      <c r="A107" s="3" t="s">
        <v>274</v>
      </c>
      <c r="B107" s="3" t="s">
        <v>259</v>
      </c>
      <c r="C107" s="3" t="s">
        <v>89</v>
      </c>
      <c r="D107" s="5">
        <v>4</v>
      </c>
      <c r="E107" s="57">
        <f>7175*$E$2</f>
        <v>7175</v>
      </c>
    </row>
    <row r="108" spans="1:6" hidden="1" outlineLevel="1" x14ac:dyDescent="0.3">
      <c r="A108" s="3" t="s">
        <v>275</v>
      </c>
      <c r="B108" s="3" t="s">
        <v>260</v>
      </c>
      <c r="C108" s="3" t="s">
        <v>89</v>
      </c>
      <c r="D108" s="5">
        <v>5</v>
      </c>
      <c r="E108" s="57">
        <f>8442*$E$2</f>
        <v>8442</v>
      </c>
    </row>
    <row r="109" spans="1:6" hidden="1" outlineLevel="1" x14ac:dyDescent="0.3">
      <c r="A109" s="3" t="s">
        <v>276</v>
      </c>
      <c r="B109" s="3" t="s">
        <v>261</v>
      </c>
      <c r="C109" s="3" t="s">
        <v>90</v>
      </c>
      <c r="D109" s="5">
        <v>1</v>
      </c>
      <c r="E109" s="57">
        <f>4217*$E$2</f>
        <v>4217</v>
      </c>
    </row>
    <row r="110" spans="1:6" hidden="1" outlineLevel="1" x14ac:dyDescent="0.3">
      <c r="A110" s="3" t="s">
        <v>277</v>
      </c>
      <c r="B110" s="3" t="s">
        <v>262</v>
      </c>
      <c r="C110" s="3" t="s">
        <v>90</v>
      </c>
      <c r="D110" s="5">
        <v>2</v>
      </c>
      <c r="E110" s="57">
        <f>5062*$E$2</f>
        <v>5062</v>
      </c>
    </row>
    <row r="111" spans="1:6" hidden="1" outlineLevel="1" x14ac:dyDescent="0.3">
      <c r="A111" s="3" t="s">
        <v>278</v>
      </c>
      <c r="B111" s="3" t="s">
        <v>263</v>
      </c>
      <c r="C111" s="3" t="s">
        <v>90</v>
      </c>
      <c r="D111" s="5">
        <v>3</v>
      </c>
      <c r="E111" s="57">
        <f>6752*$E$2</f>
        <v>6752</v>
      </c>
    </row>
    <row r="112" spans="1:6" hidden="1" outlineLevel="1" x14ac:dyDescent="0.3">
      <c r="A112" s="3" t="s">
        <v>279</v>
      </c>
      <c r="B112" s="3" t="s">
        <v>264</v>
      </c>
      <c r="C112" s="3" t="s">
        <v>90</v>
      </c>
      <c r="D112" s="5">
        <v>4</v>
      </c>
      <c r="E112" s="57">
        <f>10132*$E$2</f>
        <v>10132</v>
      </c>
    </row>
    <row r="113" spans="1:5" hidden="1" outlineLevel="1" x14ac:dyDescent="0.3">
      <c r="A113" s="3" t="s">
        <v>280</v>
      </c>
      <c r="B113" s="3" t="s">
        <v>265</v>
      </c>
      <c r="C113" s="3" t="s">
        <v>90</v>
      </c>
      <c r="D113" s="5">
        <v>5</v>
      </c>
      <c r="E113" s="57">
        <f>11822*$E$2</f>
        <v>11822</v>
      </c>
    </row>
    <row r="114" spans="1:5" collapsed="1" x14ac:dyDescent="0.3"/>
  </sheetData>
  <autoFilter ref="A4:E99"/>
  <mergeCells count="5">
    <mergeCell ref="A1:E1"/>
    <mergeCell ref="A5:E5"/>
    <mergeCell ref="A36:E36"/>
    <mergeCell ref="A67:E67"/>
    <mergeCell ref="A98:E98"/>
  </mergeCells>
  <hyperlinks>
    <hyperlink ref="A1:E1" location="Главная!A1" display="ВОЗВРАТ НА ГЛАВНУЮ СТРАНИЦУ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0"/>
  <sheetViews>
    <sheetView workbookViewId="0">
      <pane ySplit="4" topLeftCell="A5" activePane="bottomLeft" state="frozen"/>
      <selection pane="bottomLeft" activeCell="A5" sqref="A5:D5"/>
    </sheetView>
  </sheetViews>
  <sheetFormatPr defaultRowHeight="14.4" x14ac:dyDescent="0.3"/>
  <cols>
    <col min="1" max="1" width="17" customWidth="1"/>
    <col min="2" max="2" width="100.6640625" customWidth="1"/>
    <col min="3" max="3" width="12.5546875" customWidth="1"/>
    <col min="4" max="4" width="10.88671875" style="58" bestFit="1" customWidth="1"/>
  </cols>
  <sheetData>
    <row r="1" spans="1:5" ht="22.8" x14ac:dyDescent="0.4">
      <c r="A1" s="74" t="s">
        <v>61</v>
      </c>
      <c r="B1" s="74"/>
      <c r="C1" s="74"/>
      <c r="D1" s="74"/>
    </row>
    <row r="2" spans="1:5" x14ac:dyDescent="0.3">
      <c r="A2" s="1" t="s">
        <v>62</v>
      </c>
      <c r="B2" s="1"/>
      <c r="C2" s="1" t="s">
        <v>311</v>
      </c>
      <c r="D2" s="55">
        <v>1</v>
      </c>
    </row>
    <row r="3" spans="1:5" x14ac:dyDescent="0.3">
      <c r="A3" s="1"/>
      <c r="B3" s="1"/>
      <c r="C3" s="1"/>
      <c r="D3" s="55"/>
    </row>
    <row r="4" spans="1:5" x14ac:dyDescent="0.3">
      <c r="A4" s="2" t="s">
        <v>0</v>
      </c>
      <c r="B4" s="2" t="s">
        <v>1</v>
      </c>
      <c r="C4" s="2" t="s">
        <v>67</v>
      </c>
      <c r="D4" s="56" t="s">
        <v>281</v>
      </c>
    </row>
    <row r="5" spans="1:5" x14ac:dyDescent="0.3">
      <c r="A5" s="73" t="s">
        <v>282</v>
      </c>
      <c r="B5" s="73"/>
      <c r="C5" s="73"/>
      <c r="D5" s="73"/>
    </row>
    <row r="6" spans="1:5" x14ac:dyDescent="0.3">
      <c r="A6" s="3" t="s">
        <v>288</v>
      </c>
      <c r="B6" s="3" t="s">
        <v>286</v>
      </c>
      <c r="C6" s="5" t="s">
        <v>290</v>
      </c>
      <c r="D6" s="57">
        <f>66312*$D$2</f>
        <v>66312</v>
      </c>
      <c r="E6" s="60"/>
    </row>
    <row r="7" spans="1:5" x14ac:dyDescent="0.3">
      <c r="A7" s="3" t="s">
        <v>289</v>
      </c>
      <c r="B7" s="3" t="s">
        <v>287</v>
      </c>
      <c r="C7" s="5" t="s">
        <v>290</v>
      </c>
      <c r="D7" s="57">
        <f>100039*$D$2</f>
        <v>100039</v>
      </c>
      <c r="E7" s="60"/>
    </row>
    <row r="8" spans="1:5" x14ac:dyDescent="0.3">
      <c r="A8" s="73" t="s">
        <v>283</v>
      </c>
      <c r="B8" s="73"/>
      <c r="C8" s="73"/>
      <c r="D8" s="73"/>
      <c r="E8" s="60"/>
    </row>
    <row r="9" spans="1:5" x14ac:dyDescent="0.3">
      <c r="A9" s="3" t="s">
        <v>292</v>
      </c>
      <c r="B9" s="3" t="s">
        <v>291</v>
      </c>
      <c r="C9" s="5" t="s">
        <v>68</v>
      </c>
      <c r="D9" s="57">
        <f>68598*$D$2</f>
        <v>68598</v>
      </c>
      <c r="E9" s="60"/>
    </row>
    <row r="10" spans="1:5" x14ac:dyDescent="0.3">
      <c r="A10" s="3" t="s">
        <v>294</v>
      </c>
      <c r="B10" s="3" t="s">
        <v>293</v>
      </c>
      <c r="C10" s="5" t="s">
        <v>68</v>
      </c>
      <c r="D10" s="57">
        <f>29155*$D$2</f>
        <v>29155</v>
      </c>
      <c r="E10" s="60"/>
    </row>
    <row r="11" spans="1:5" x14ac:dyDescent="0.3">
      <c r="A11" s="3" t="s">
        <v>296</v>
      </c>
      <c r="B11" s="3" t="s">
        <v>295</v>
      </c>
      <c r="C11" s="5" t="s">
        <v>68</v>
      </c>
      <c r="D11" s="57">
        <f>21870*$D$2</f>
        <v>21870</v>
      </c>
      <c r="E11" s="60"/>
    </row>
    <row r="12" spans="1:5" x14ac:dyDescent="0.3">
      <c r="A12" s="3" t="s">
        <v>298</v>
      </c>
      <c r="B12" s="3" t="s">
        <v>297</v>
      </c>
      <c r="C12" s="5" t="s">
        <v>290</v>
      </c>
      <c r="D12" s="57">
        <f>120046*$D$2</f>
        <v>120046</v>
      </c>
      <c r="E12" s="60"/>
    </row>
    <row r="13" spans="1:5" x14ac:dyDescent="0.3">
      <c r="A13" s="3" t="s">
        <v>300</v>
      </c>
      <c r="B13" s="3" t="s">
        <v>299</v>
      </c>
      <c r="C13" s="5" t="s">
        <v>290</v>
      </c>
      <c r="D13" s="57">
        <f>45303*$D$2</f>
        <v>45303</v>
      </c>
      <c r="E13" s="60"/>
    </row>
    <row r="14" spans="1:5" x14ac:dyDescent="0.3">
      <c r="A14" s="3" t="s">
        <v>302</v>
      </c>
      <c r="B14" s="3" t="s">
        <v>301</v>
      </c>
      <c r="C14" s="5" t="s">
        <v>290</v>
      </c>
      <c r="D14" s="57">
        <f>201217*$D$2</f>
        <v>201217</v>
      </c>
      <c r="E14" s="60"/>
    </row>
    <row r="15" spans="1:5" x14ac:dyDescent="0.3">
      <c r="A15" s="73" t="s">
        <v>284</v>
      </c>
      <c r="B15" s="73"/>
      <c r="C15" s="73"/>
      <c r="D15" s="73"/>
      <c r="E15" s="60"/>
    </row>
    <row r="16" spans="1:5" x14ac:dyDescent="0.3">
      <c r="A16" s="3" t="s">
        <v>304</v>
      </c>
      <c r="B16" s="3" t="s">
        <v>303</v>
      </c>
      <c r="C16" s="5" t="s">
        <v>290</v>
      </c>
      <c r="D16" s="57">
        <f>534809*$D$2</f>
        <v>534809</v>
      </c>
      <c r="E16" s="60"/>
    </row>
    <row r="17" spans="1:5" x14ac:dyDescent="0.3">
      <c r="A17" s="3" t="s">
        <v>306</v>
      </c>
      <c r="B17" s="3" t="s">
        <v>305</v>
      </c>
      <c r="C17" s="5" t="s">
        <v>290</v>
      </c>
      <c r="D17" s="57">
        <f>316925*$D$2</f>
        <v>316925</v>
      </c>
      <c r="E17" s="60"/>
    </row>
    <row r="18" spans="1:5" x14ac:dyDescent="0.3">
      <c r="A18" s="73" t="s">
        <v>285</v>
      </c>
      <c r="B18" s="73"/>
      <c r="C18" s="73"/>
      <c r="D18" s="73"/>
      <c r="E18" s="60"/>
    </row>
    <row r="19" spans="1:5" x14ac:dyDescent="0.3">
      <c r="A19" s="3" t="s">
        <v>309</v>
      </c>
      <c r="B19" s="3" t="s">
        <v>307</v>
      </c>
      <c r="C19" s="5" t="s">
        <v>290</v>
      </c>
      <c r="D19" s="57">
        <f>297116*$D$2</f>
        <v>297116</v>
      </c>
      <c r="E19" s="60"/>
    </row>
    <row r="20" spans="1:5" x14ac:dyDescent="0.3">
      <c r="A20" s="3" t="s">
        <v>310</v>
      </c>
      <c r="B20" s="3" t="s">
        <v>308</v>
      </c>
      <c r="C20" s="5" t="s">
        <v>290</v>
      </c>
      <c r="D20" s="57">
        <f>154693*$D$2</f>
        <v>154693</v>
      </c>
      <c r="E20" s="60"/>
    </row>
  </sheetData>
  <autoFilter ref="A4:D4">
    <filterColumn colId="2">
      <filters>
        <filter val="Срок действия"/>
      </filters>
    </filterColumn>
  </autoFilter>
  <mergeCells count="5">
    <mergeCell ref="A5:D5"/>
    <mergeCell ref="A8:D8"/>
    <mergeCell ref="A15:D15"/>
    <mergeCell ref="A18:D18"/>
    <mergeCell ref="A1:D1"/>
  </mergeCells>
  <hyperlinks>
    <hyperlink ref="A1:D1" location="Главная!A1" display="ВОЗВРАТ НА ГЛАВНУЮ СТРАНИЦУ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pane ySplit="4" topLeftCell="A5" activePane="bottomLeft" state="frozen"/>
      <selection pane="bottomLeft" activeCell="B154" sqref="B154"/>
    </sheetView>
  </sheetViews>
  <sheetFormatPr defaultRowHeight="14.4" outlineLevelRow="1" x14ac:dyDescent="0.3"/>
  <cols>
    <col min="1" max="1" width="16.44140625" customWidth="1"/>
    <col min="2" max="2" width="100.6640625" customWidth="1"/>
    <col min="3" max="3" width="17" customWidth="1"/>
    <col min="4" max="4" width="13.109375" customWidth="1"/>
    <col min="5" max="5" width="10.88671875" style="58" bestFit="1" customWidth="1"/>
  </cols>
  <sheetData>
    <row r="1" spans="1:5" ht="22.8" x14ac:dyDescent="0.4">
      <c r="A1" s="74" t="s">
        <v>61</v>
      </c>
      <c r="B1" s="74"/>
      <c r="C1" s="74"/>
      <c r="D1" s="74"/>
      <c r="E1" s="74"/>
    </row>
    <row r="2" spans="1:5" x14ac:dyDescent="0.3">
      <c r="A2" s="1" t="s">
        <v>452</v>
      </c>
      <c r="B2" s="1"/>
      <c r="C2" s="1"/>
      <c r="D2" s="1" t="s">
        <v>311</v>
      </c>
      <c r="E2" s="55">
        <v>1</v>
      </c>
    </row>
    <row r="3" spans="1:5" x14ac:dyDescent="0.3">
      <c r="A3" s="1"/>
      <c r="B3" s="1"/>
      <c r="C3" s="1"/>
      <c r="D3" s="1"/>
      <c r="E3" s="55"/>
    </row>
    <row r="4" spans="1:5" ht="30.6" x14ac:dyDescent="0.3">
      <c r="A4" s="2" t="s">
        <v>0</v>
      </c>
      <c r="B4" s="2" t="s">
        <v>1</v>
      </c>
      <c r="C4" s="2" t="s">
        <v>330</v>
      </c>
      <c r="D4" s="2" t="s">
        <v>339</v>
      </c>
      <c r="E4" s="56" t="s">
        <v>26</v>
      </c>
    </row>
    <row r="5" spans="1:5" x14ac:dyDescent="0.3">
      <c r="A5" s="73" t="s">
        <v>333</v>
      </c>
      <c r="B5" s="73"/>
      <c r="C5" s="73"/>
      <c r="D5" s="73"/>
      <c r="E5" s="61"/>
    </row>
    <row r="6" spans="1:5" hidden="1" outlineLevel="1" x14ac:dyDescent="0.3">
      <c r="A6" s="75">
        <v>4601546095848</v>
      </c>
      <c r="B6" s="3" t="s">
        <v>312</v>
      </c>
      <c r="C6" s="4" t="s">
        <v>331</v>
      </c>
      <c r="D6" s="5">
        <v>1</v>
      </c>
      <c r="E6" s="57">
        <f>90720*$E$2</f>
        <v>90720</v>
      </c>
    </row>
    <row r="7" spans="1:5" hidden="1" outlineLevel="1" x14ac:dyDescent="0.3">
      <c r="A7" s="75">
        <v>4601546095817</v>
      </c>
      <c r="B7" s="3" t="s">
        <v>313</v>
      </c>
      <c r="C7" s="4" t="s">
        <v>331</v>
      </c>
      <c r="D7" s="5">
        <v>1</v>
      </c>
      <c r="E7" s="57">
        <f>64800*$E$2</f>
        <v>64800</v>
      </c>
    </row>
    <row r="8" spans="1:5" hidden="1" outlineLevel="1" x14ac:dyDescent="0.3">
      <c r="A8" s="75">
        <v>4601546095824</v>
      </c>
      <c r="B8" s="3" t="s">
        <v>314</v>
      </c>
      <c r="C8" s="4" t="s">
        <v>331</v>
      </c>
      <c r="D8" s="5">
        <v>5</v>
      </c>
      <c r="E8" s="57">
        <f>151200*$E$2</f>
        <v>151200</v>
      </c>
    </row>
    <row r="9" spans="1:5" hidden="1" outlineLevel="1" x14ac:dyDescent="0.3">
      <c r="A9" s="75">
        <v>4601546095831</v>
      </c>
      <c r="B9" s="3" t="s">
        <v>315</v>
      </c>
      <c r="C9" s="4" t="s">
        <v>331</v>
      </c>
      <c r="D9" s="5">
        <v>1</v>
      </c>
      <c r="E9" s="57">
        <f>90720*$E$2</f>
        <v>90720</v>
      </c>
    </row>
    <row r="10" spans="1:5" hidden="1" outlineLevel="1" x14ac:dyDescent="0.3">
      <c r="A10" s="75">
        <v>4601546087218</v>
      </c>
      <c r="B10" s="3" t="s">
        <v>316</v>
      </c>
      <c r="C10" s="4" t="s">
        <v>331</v>
      </c>
      <c r="D10" s="5">
        <v>1</v>
      </c>
      <c r="E10" s="57">
        <f>90720*$E$2</f>
        <v>90720</v>
      </c>
    </row>
    <row r="11" spans="1:5" hidden="1" outlineLevel="1" x14ac:dyDescent="0.3">
      <c r="A11" s="75">
        <v>4601546095862</v>
      </c>
      <c r="B11" s="3" t="s">
        <v>317</v>
      </c>
      <c r="C11" s="4" t="s">
        <v>331</v>
      </c>
      <c r="D11" s="5">
        <v>1</v>
      </c>
      <c r="E11" s="57">
        <f>64800*$E$2</f>
        <v>64800</v>
      </c>
    </row>
    <row r="12" spans="1:5" hidden="1" outlineLevel="1" x14ac:dyDescent="0.3">
      <c r="A12" s="75">
        <v>4601546104618</v>
      </c>
      <c r="B12" s="3" t="s">
        <v>318</v>
      </c>
      <c r="C12" s="4" t="s">
        <v>331</v>
      </c>
      <c r="D12" s="5">
        <v>1</v>
      </c>
      <c r="E12" s="57">
        <f>77760*$E$2</f>
        <v>77760</v>
      </c>
    </row>
    <row r="13" spans="1:5" hidden="1" outlineLevel="1" x14ac:dyDescent="0.3">
      <c r="A13" s="75">
        <v>4601546109743</v>
      </c>
      <c r="B13" s="3" t="s">
        <v>319</v>
      </c>
      <c r="C13" s="4" t="s">
        <v>331</v>
      </c>
      <c r="D13" s="5">
        <v>5</v>
      </c>
      <c r="E13" s="57">
        <f>165600*$E$2</f>
        <v>165600</v>
      </c>
    </row>
    <row r="14" spans="1:5" hidden="1" outlineLevel="1" x14ac:dyDescent="0.3">
      <c r="A14" s="75">
        <v>4601546104625</v>
      </c>
      <c r="B14" s="3" t="s">
        <v>320</v>
      </c>
      <c r="C14" s="4" t="s">
        <v>331</v>
      </c>
      <c r="D14" s="5">
        <v>1</v>
      </c>
      <c r="E14" s="57">
        <f>64800*$E$2</f>
        <v>64800</v>
      </c>
    </row>
    <row r="15" spans="1:5" hidden="1" outlineLevel="1" x14ac:dyDescent="0.3">
      <c r="A15" s="75">
        <v>4601546104632</v>
      </c>
      <c r="B15" s="3" t="s">
        <v>321</v>
      </c>
      <c r="C15" s="4" t="s">
        <v>331</v>
      </c>
      <c r="D15" s="5">
        <v>1</v>
      </c>
      <c r="E15" s="57">
        <f>90720*$E$2</f>
        <v>90720</v>
      </c>
    </row>
    <row r="16" spans="1:5" hidden="1" outlineLevel="1" x14ac:dyDescent="0.3">
      <c r="A16" s="75">
        <v>4601546127969</v>
      </c>
      <c r="B16" s="3" t="s">
        <v>322</v>
      </c>
      <c r="C16" s="4" t="s">
        <v>331</v>
      </c>
      <c r="D16" s="5">
        <v>1</v>
      </c>
      <c r="E16" s="57">
        <f>420000*$E$2</f>
        <v>420000</v>
      </c>
    </row>
    <row r="17" spans="1:5" hidden="1" outlineLevel="1" x14ac:dyDescent="0.3">
      <c r="A17" s="75">
        <v>4601546127983</v>
      </c>
      <c r="B17" s="3" t="s">
        <v>323</v>
      </c>
      <c r="C17" s="4" t="s">
        <v>331</v>
      </c>
      <c r="D17" s="5">
        <v>10</v>
      </c>
      <c r="E17" s="57">
        <f>750000*$E$2</f>
        <v>750000</v>
      </c>
    </row>
    <row r="18" spans="1:5" hidden="1" outlineLevel="1" x14ac:dyDescent="0.3">
      <c r="A18" s="75">
        <v>2900001756587</v>
      </c>
      <c r="B18" s="3" t="s">
        <v>324</v>
      </c>
      <c r="C18" s="4" t="s">
        <v>331</v>
      </c>
      <c r="D18" s="5">
        <v>1</v>
      </c>
      <c r="E18" s="57">
        <f>350000*$E$2</f>
        <v>350000</v>
      </c>
    </row>
    <row r="19" spans="1:5" hidden="1" outlineLevel="1" x14ac:dyDescent="0.3">
      <c r="A19" s="75">
        <v>4601546095855</v>
      </c>
      <c r="B19" s="3" t="s">
        <v>325</v>
      </c>
      <c r="C19" s="4" t="s">
        <v>331</v>
      </c>
      <c r="D19" s="5">
        <v>5</v>
      </c>
      <c r="E19" s="57">
        <f>237600*$E$2</f>
        <v>237600</v>
      </c>
    </row>
    <row r="20" spans="1:5" hidden="1" outlineLevel="1" x14ac:dyDescent="0.3">
      <c r="A20" s="75">
        <v>4601546111548</v>
      </c>
      <c r="B20" s="3" t="s">
        <v>326</v>
      </c>
      <c r="C20" s="4" t="s">
        <v>331</v>
      </c>
      <c r="D20" s="5">
        <v>1</v>
      </c>
      <c r="E20" s="57">
        <f>78000*$E$2</f>
        <v>78000</v>
      </c>
    </row>
    <row r="21" spans="1:5" hidden="1" outlineLevel="1" x14ac:dyDescent="0.3">
      <c r="A21" s="75">
        <v>4601546104649</v>
      </c>
      <c r="B21" s="3" t="s">
        <v>327</v>
      </c>
      <c r="C21" s="4" t="s">
        <v>331</v>
      </c>
      <c r="D21" s="5">
        <v>1</v>
      </c>
      <c r="E21" s="57">
        <f>540000*$E$2</f>
        <v>540000</v>
      </c>
    </row>
    <row r="22" spans="1:5" hidden="1" outlineLevel="1" x14ac:dyDescent="0.3">
      <c r="A22" s="75">
        <v>4601546124326</v>
      </c>
      <c r="B22" s="3" t="s">
        <v>328</v>
      </c>
      <c r="C22" s="4" t="s">
        <v>331</v>
      </c>
      <c r="D22" s="5">
        <v>1</v>
      </c>
      <c r="E22" s="57">
        <f>126000*$E$2</f>
        <v>126000</v>
      </c>
    </row>
    <row r="23" spans="1:5" hidden="1" outlineLevel="1" x14ac:dyDescent="0.3">
      <c r="A23" s="75">
        <v>4601546124333</v>
      </c>
      <c r="B23" s="3" t="s">
        <v>329</v>
      </c>
      <c r="C23" s="4" t="s">
        <v>331</v>
      </c>
      <c r="D23" s="5">
        <v>1</v>
      </c>
      <c r="E23" s="57">
        <f>90000*$E$2</f>
        <v>90000</v>
      </c>
    </row>
    <row r="24" spans="1:5" hidden="1" outlineLevel="1" x14ac:dyDescent="0.3">
      <c r="A24" s="75">
        <v>4601546081117</v>
      </c>
      <c r="B24" s="3" t="s">
        <v>332</v>
      </c>
      <c r="C24" s="4" t="s">
        <v>331</v>
      </c>
      <c r="D24" s="5">
        <v>1</v>
      </c>
      <c r="E24" s="57">
        <f>165000*$E$2</f>
        <v>165000</v>
      </c>
    </row>
    <row r="25" spans="1:5" hidden="1" outlineLevel="1" x14ac:dyDescent="0.3">
      <c r="A25" s="75">
        <v>4601546090713</v>
      </c>
      <c r="B25" s="3" t="s">
        <v>340</v>
      </c>
      <c r="C25" s="4" t="s">
        <v>371</v>
      </c>
      <c r="D25" s="5">
        <v>1</v>
      </c>
      <c r="E25" s="57">
        <f>1800*$E$2</f>
        <v>1800</v>
      </c>
    </row>
    <row r="26" spans="1:5" hidden="1" outlineLevel="1" x14ac:dyDescent="0.3">
      <c r="A26" s="75">
        <v>4601546109996</v>
      </c>
      <c r="B26" s="3" t="s">
        <v>341</v>
      </c>
      <c r="C26" s="4" t="s">
        <v>371</v>
      </c>
      <c r="D26" s="5">
        <v>1</v>
      </c>
      <c r="E26" s="57">
        <f>4890*$E$2</f>
        <v>4890</v>
      </c>
    </row>
    <row r="27" spans="1:5" hidden="1" outlineLevel="1" x14ac:dyDescent="0.3">
      <c r="A27" s="75">
        <v>4601546045423</v>
      </c>
      <c r="B27" s="3" t="s">
        <v>342</v>
      </c>
      <c r="C27" s="4" t="s">
        <v>372</v>
      </c>
      <c r="D27" s="5">
        <v>1</v>
      </c>
      <c r="E27" s="57">
        <f>21600*$E$2</f>
        <v>21600</v>
      </c>
    </row>
    <row r="28" spans="1:5" hidden="1" outlineLevel="1" x14ac:dyDescent="0.3">
      <c r="A28" s="75">
        <v>4601546129871</v>
      </c>
      <c r="B28" s="3" t="s">
        <v>343</v>
      </c>
      <c r="C28" s="4" t="s">
        <v>372</v>
      </c>
      <c r="D28" s="5">
        <v>1</v>
      </c>
      <c r="E28" s="57">
        <f>21600*$E$2</f>
        <v>21600</v>
      </c>
    </row>
    <row r="29" spans="1:5" hidden="1" outlineLevel="1" x14ac:dyDescent="0.3">
      <c r="A29" s="75">
        <v>4601546130099</v>
      </c>
      <c r="B29" s="3" t="s">
        <v>344</v>
      </c>
      <c r="C29" s="4" t="s">
        <v>372</v>
      </c>
      <c r="D29" s="5">
        <v>1</v>
      </c>
      <c r="E29" s="57">
        <f>30240*$E$2</f>
        <v>30240</v>
      </c>
    </row>
    <row r="30" spans="1:5" hidden="1" outlineLevel="1" x14ac:dyDescent="0.3">
      <c r="A30" s="75">
        <v>4601546051561</v>
      </c>
      <c r="B30" s="3" t="s">
        <v>345</v>
      </c>
      <c r="C30" s="4" t="s">
        <v>372</v>
      </c>
      <c r="D30" s="5">
        <v>1</v>
      </c>
      <c r="E30" s="57">
        <f>30240*$E$2</f>
        <v>30240</v>
      </c>
    </row>
    <row r="31" spans="1:5" hidden="1" outlineLevel="1" x14ac:dyDescent="0.3">
      <c r="A31" s="75">
        <v>4601546045416</v>
      </c>
      <c r="B31" s="3" t="s">
        <v>346</v>
      </c>
      <c r="C31" s="4" t="s">
        <v>373</v>
      </c>
      <c r="D31" s="5">
        <v>1</v>
      </c>
      <c r="E31" s="57">
        <f>76320*$E$2</f>
        <v>76320</v>
      </c>
    </row>
    <row r="32" spans="1:5" hidden="1" outlineLevel="1" x14ac:dyDescent="0.3">
      <c r="A32" s="75">
        <v>4601546045430</v>
      </c>
      <c r="B32" s="3" t="s">
        <v>347</v>
      </c>
      <c r="C32" s="4" t="s">
        <v>373</v>
      </c>
      <c r="D32" s="5">
        <v>5</v>
      </c>
      <c r="E32" s="57">
        <f>162720*$E$2</f>
        <v>162720</v>
      </c>
    </row>
    <row r="33" spans="1:5" hidden="1" outlineLevel="1" x14ac:dyDescent="0.3">
      <c r="A33" s="75">
        <v>4601546078223</v>
      </c>
      <c r="B33" s="3" t="s">
        <v>348</v>
      </c>
      <c r="C33" s="4" t="s">
        <v>373</v>
      </c>
      <c r="D33" s="5">
        <v>1</v>
      </c>
      <c r="E33" s="57">
        <f>76320*$E$2</f>
        <v>76320</v>
      </c>
    </row>
    <row r="34" spans="1:5" hidden="1" outlineLevel="1" x14ac:dyDescent="0.3">
      <c r="A34" s="75">
        <v>4601546044365</v>
      </c>
      <c r="B34" s="3" t="s">
        <v>349</v>
      </c>
      <c r="C34" s="4" t="s">
        <v>373</v>
      </c>
      <c r="D34" s="5">
        <v>1</v>
      </c>
      <c r="E34" s="57">
        <f>89280*$E$2</f>
        <v>89280</v>
      </c>
    </row>
    <row r="35" spans="1:5" hidden="1" outlineLevel="1" x14ac:dyDescent="0.3">
      <c r="A35" s="75">
        <v>4601546066657</v>
      </c>
      <c r="B35" s="3" t="s">
        <v>350</v>
      </c>
      <c r="C35" s="4" t="s">
        <v>373</v>
      </c>
      <c r="D35" s="5">
        <v>1</v>
      </c>
      <c r="E35" s="57">
        <f>76320*$E$2</f>
        <v>76320</v>
      </c>
    </row>
    <row r="36" spans="1:5" hidden="1" outlineLevel="1" x14ac:dyDescent="0.3">
      <c r="A36" s="75">
        <v>4601546045447</v>
      </c>
      <c r="B36" s="3" t="s">
        <v>351</v>
      </c>
      <c r="C36" s="4" t="s">
        <v>373</v>
      </c>
      <c r="D36" s="5">
        <v>1</v>
      </c>
      <c r="E36" s="57">
        <f>102240*$E$2</f>
        <v>102240</v>
      </c>
    </row>
    <row r="37" spans="1:5" hidden="1" outlineLevel="1" x14ac:dyDescent="0.3">
      <c r="A37" s="75">
        <v>4601546045454</v>
      </c>
      <c r="B37" s="3" t="s">
        <v>352</v>
      </c>
      <c r="C37" s="4" t="s">
        <v>373</v>
      </c>
      <c r="D37" s="5">
        <v>1</v>
      </c>
      <c r="E37" s="57">
        <f>102240*$E$2</f>
        <v>102240</v>
      </c>
    </row>
    <row r="38" spans="1:5" hidden="1" outlineLevel="1" x14ac:dyDescent="0.3">
      <c r="A38" s="75">
        <v>4601546078230</v>
      </c>
      <c r="B38" s="3" t="s">
        <v>353</v>
      </c>
      <c r="C38" s="4" t="s">
        <v>373</v>
      </c>
      <c r="D38" s="5">
        <v>1</v>
      </c>
      <c r="E38" s="57">
        <f>102240*$E$2</f>
        <v>102240</v>
      </c>
    </row>
    <row r="39" spans="1:5" hidden="1" outlineLevel="1" x14ac:dyDescent="0.3">
      <c r="A39" s="75">
        <v>4601546127976</v>
      </c>
      <c r="B39" s="3" t="s">
        <v>354</v>
      </c>
      <c r="C39" s="4" t="s">
        <v>373</v>
      </c>
      <c r="D39" s="5">
        <v>1</v>
      </c>
      <c r="E39" s="57">
        <f>504000*$E$2</f>
        <v>504000</v>
      </c>
    </row>
    <row r="40" spans="1:5" hidden="1" outlineLevel="1" x14ac:dyDescent="0.3">
      <c r="A40" s="75">
        <v>4601546127990</v>
      </c>
      <c r="B40" s="3" t="s">
        <v>355</v>
      </c>
      <c r="C40" s="4" t="s">
        <v>373</v>
      </c>
      <c r="D40" s="5">
        <v>10</v>
      </c>
      <c r="E40" s="57">
        <f>900000*$E$2</f>
        <v>900000</v>
      </c>
    </row>
    <row r="41" spans="1:5" hidden="1" outlineLevel="1" x14ac:dyDescent="0.3">
      <c r="A41" s="75">
        <v>4601546045461</v>
      </c>
      <c r="B41" s="3" t="s">
        <v>356</v>
      </c>
      <c r="C41" s="4" t="s">
        <v>373</v>
      </c>
      <c r="D41" s="5">
        <v>5</v>
      </c>
      <c r="E41" s="57">
        <f>249120*$E$2</f>
        <v>249120</v>
      </c>
    </row>
    <row r="42" spans="1:5" hidden="1" outlineLevel="1" x14ac:dyDescent="0.3">
      <c r="A42" s="75">
        <v>4601546097828</v>
      </c>
      <c r="B42" s="3" t="s">
        <v>357</v>
      </c>
      <c r="C42" s="4" t="s">
        <v>373</v>
      </c>
      <c r="D42" s="5">
        <v>1</v>
      </c>
      <c r="E42" s="57">
        <f>549600*$E$2</f>
        <v>549600</v>
      </c>
    </row>
    <row r="43" spans="1:5" hidden="1" outlineLevel="1" x14ac:dyDescent="0.3">
      <c r="A43" s="75">
        <v>4601546030436</v>
      </c>
      <c r="B43" s="3" t="s">
        <v>370</v>
      </c>
      <c r="C43" s="4" t="s">
        <v>374</v>
      </c>
      <c r="D43" s="5">
        <v>5</v>
      </c>
      <c r="E43" s="57">
        <f>112750*$E$2</f>
        <v>112750</v>
      </c>
    </row>
    <row r="44" spans="1:5" hidden="1" outlineLevel="1" x14ac:dyDescent="0.3">
      <c r="A44" s="75">
        <v>4601546036568</v>
      </c>
      <c r="B44" s="3" t="s">
        <v>358</v>
      </c>
      <c r="C44" s="4" t="s">
        <v>373</v>
      </c>
      <c r="D44" s="5">
        <v>1</v>
      </c>
      <c r="E44" s="57">
        <f>170775*$E$2</f>
        <v>170775</v>
      </c>
    </row>
    <row r="45" spans="1:5" hidden="1" outlineLevel="1" x14ac:dyDescent="0.3">
      <c r="A45" s="75">
        <v>4601546071880</v>
      </c>
      <c r="B45" s="3" t="s">
        <v>359</v>
      </c>
      <c r="C45" s="4" t="s">
        <v>373</v>
      </c>
      <c r="D45" s="5">
        <v>1</v>
      </c>
      <c r="E45" s="57">
        <f>165000*$E$2</f>
        <v>165000</v>
      </c>
    </row>
    <row r="46" spans="1:5" hidden="1" outlineLevel="1" x14ac:dyDescent="0.3">
      <c r="A46" s="75">
        <v>4601546077264</v>
      </c>
      <c r="B46" s="3" t="s">
        <v>360</v>
      </c>
      <c r="C46" s="4" t="s">
        <v>373</v>
      </c>
      <c r="D46" s="5">
        <v>1</v>
      </c>
      <c r="E46" s="57">
        <f>81000*$E$2</f>
        <v>81000</v>
      </c>
    </row>
    <row r="47" spans="1:5" hidden="1" outlineLevel="1" x14ac:dyDescent="0.3">
      <c r="A47" s="75">
        <v>4601546078575</v>
      </c>
      <c r="B47" s="3" t="s">
        <v>361</v>
      </c>
      <c r="C47" s="4" t="s">
        <v>373</v>
      </c>
      <c r="D47" s="5">
        <v>1</v>
      </c>
      <c r="E47" s="57">
        <f>151200*$E$2</f>
        <v>151200</v>
      </c>
    </row>
    <row r="48" spans="1:5" hidden="1" outlineLevel="1" x14ac:dyDescent="0.3">
      <c r="A48" s="75">
        <v>4601546078582</v>
      </c>
      <c r="B48" s="3" t="s">
        <v>362</v>
      </c>
      <c r="C48" s="4" t="s">
        <v>372</v>
      </c>
      <c r="D48" s="5">
        <v>1</v>
      </c>
      <c r="E48" s="57">
        <f>54000*$E$2</f>
        <v>54000</v>
      </c>
    </row>
    <row r="49" spans="1:5" hidden="1" outlineLevel="1" x14ac:dyDescent="0.3">
      <c r="A49" s="75">
        <v>4601546078599</v>
      </c>
      <c r="B49" s="3" t="s">
        <v>363</v>
      </c>
      <c r="C49" s="4" t="s">
        <v>373</v>
      </c>
      <c r="D49" s="5">
        <v>1</v>
      </c>
      <c r="E49" s="57">
        <f>108000*$E$2</f>
        <v>108000</v>
      </c>
    </row>
    <row r="50" spans="1:5" hidden="1" outlineLevel="1" x14ac:dyDescent="0.3">
      <c r="A50" s="75"/>
      <c r="B50" s="3" t="s">
        <v>364</v>
      </c>
      <c r="C50" s="4" t="s">
        <v>375</v>
      </c>
      <c r="D50" s="5">
        <v>1</v>
      </c>
      <c r="E50" s="57">
        <f>47250*$E$2</f>
        <v>47250</v>
      </c>
    </row>
    <row r="51" spans="1:5" hidden="1" outlineLevel="1" x14ac:dyDescent="0.3">
      <c r="A51" s="75"/>
      <c r="B51" s="3" t="s">
        <v>365</v>
      </c>
      <c r="C51" s="4" t="s">
        <v>376</v>
      </c>
      <c r="D51" s="5">
        <v>1</v>
      </c>
      <c r="E51" s="57">
        <f>5000*$E$2</f>
        <v>5000</v>
      </c>
    </row>
    <row r="52" spans="1:5" hidden="1" outlineLevel="1" x14ac:dyDescent="0.3">
      <c r="A52" s="75">
        <v>4601546096265</v>
      </c>
      <c r="B52" s="3" t="s">
        <v>366</v>
      </c>
      <c r="C52" s="4" t="s">
        <v>373</v>
      </c>
      <c r="D52" s="5">
        <v>1</v>
      </c>
      <c r="E52" s="57">
        <f>144000*$E$2</f>
        <v>144000</v>
      </c>
    </row>
    <row r="53" spans="1:5" hidden="1" outlineLevel="1" x14ac:dyDescent="0.3">
      <c r="A53" s="75">
        <v>4601546096272</v>
      </c>
      <c r="B53" s="3" t="s">
        <v>367</v>
      </c>
      <c r="C53" s="4" t="s">
        <v>373</v>
      </c>
      <c r="D53" s="5">
        <v>1</v>
      </c>
      <c r="E53" s="57">
        <f>108000*$E$2</f>
        <v>108000</v>
      </c>
    </row>
    <row r="54" spans="1:5" hidden="1" outlineLevel="1" x14ac:dyDescent="0.3">
      <c r="A54" s="75">
        <v>4601546078926</v>
      </c>
      <c r="B54" s="3" t="s">
        <v>368</v>
      </c>
      <c r="C54" s="4" t="s">
        <v>373</v>
      </c>
      <c r="D54" s="5">
        <v>1</v>
      </c>
      <c r="E54" s="57">
        <f>275000*$E$2</f>
        <v>275000</v>
      </c>
    </row>
    <row r="55" spans="1:5" hidden="1" outlineLevel="1" x14ac:dyDescent="0.3">
      <c r="A55" s="75">
        <v>4601546078933</v>
      </c>
      <c r="B55" s="3" t="s">
        <v>369</v>
      </c>
      <c r="C55" s="4" t="s">
        <v>373</v>
      </c>
      <c r="D55" s="5">
        <v>5</v>
      </c>
      <c r="E55" s="57">
        <f>660000*$E$2</f>
        <v>660000</v>
      </c>
    </row>
    <row r="56" spans="1:5" collapsed="1" x14ac:dyDescent="0.3">
      <c r="A56" s="73" t="s">
        <v>334</v>
      </c>
      <c r="B56" s="73"/>
      <c r="C56" s="73"/>
      <c r="D56" s="73"/>
      <c r="E56" s="61"/>
    </row>
    <row r="57" spans="1:5" hidden="1" outlineLevel="1" x14ac:dyDescent="0.3">
      <c r="A57" s="75">
        <v>4601546080875</v>
      </c>
      <c r="B57" s="3" t="s">
        <v>377</v>
      </c>
      <c r="C57" s="4" t="s">
        <v>331</v>
      </c>
      <c r="D57" s="5">
        <v>1</v>
      </c>
      <c r="E57" s="57">
        <f>32400*$E$2</f>
        <v>32400</v>
      </c>
    </row>
    <row r="58" spans="1:5" hidden="1" outlineLevel="1" x14ac:dyDescent="0.3">
      <c r="A58" s="75">
        <v>4601546080882</v>
      </c>
      <c r="B58" s="3" t="s">
        <v>378</v>
      </c>
      <c r="C58" s="4" t="s">
        <v>388</v>
      </c>
      <c r="D58" s="5">
        <v>5</v>
      </c>
      <c r="E58" s="57">
        <f>112320*$E$2</f>
        <v>112320</v>
      </c>
    </row>
    <row r="59" spans="1:5" hidden="1" outlineLevel="1" x14ac:dyDescent="0.3">
      <c r="A59" s="75">
        <v>4601546080899</v>
      </c>
      <c r="B59" s="3" t="s">
        <v>379</v>
      </c>
      <c r="C59" s="4" t="s">
        <v>388</v>
      </c>
      <c r="D59" s="5">
        <v>10</v>
      </c>
      <c r="E59" s="57">
        <f>216000*$E$2</f>
        <v>216000</v>
      </c>
    </row>
    <row r="60" spans="1:5" hidden="1" outlineLevel="1" x14ac:dyDescent="0.3">
      <c r="A60" s="75">
        <v>4601546080905</v>
      </c>
      <c r="B60" s="3" t="s">
        <v>380</v>
      </c>
      <c r="C60" s="4" t="s">
        <v>388</v>
      </c>
      <c r="D60" s="5">
        <v>20</v>
      </c>
      <c r="E60" s="57">
        <f>410400*$E$2</f>
        <v>410400</v>
      </c>
    </row>
    <row r="61" spans="1:5" hidden="1" outlineLevel="1" x14ac:dyDescent="0.3">
      <c r="A61" s="75">
        <v>4601546080912</v>
      </c>
      <c r="B61" s="3" t="s">
        <v>381</v>
      </c>
      <c r="C61" s="4" t="s">
        <v>388</v>
      </c>
      <c r="D61" s="5">
        <v>50</v>
      </c>
      <c r="E61" s="57">
        <f>993600*$E$2</f>
        <v>993600</v>
      </c>
    </row>
    <row r="62" spans="1:5" hidden="1" outlineLevel="1" x14ac:dyDescent="0.3">
      <c r="A62" s="75">
        <v>4601546080929</v>
      </c>
      <c r="B62" s="3" t="s">
        <v>382</v>
      </c>
      <c r="C62" s="4" t="s">
        <v>388</v>
      </c>
      <c r="D62" s="5">
        <v>100</v>
      </c>
      <c r="E62" s="57">
        <f>1944000*$E$2</f>
        <v>1944000</v>
      </c>
    </row>
    <row r="63" spans="1:5" hidden="1" outlineLevel="1" x14ac:dyDescent="0.3">
      <c r="A63" s="75">
        <v>4601546080936</v>
      </c>
      <c r="B63" s="3" t="s">
        <v>383</v>
      </c>
      <c r="C63" s="4" t="s">
        <v>388</v>
      </c>
      <c r="D63" s="5">
        <v>300</v>
      </c>
      <c r="E63" s="57">
        <f>5832000*$E$2</f>
        <v>5832000</v>
      </c>
    </row>
    <row r="64" spans="1:5" hidden="1" outlineLevel="1" x14ac:dyDescent="0.3">
      <c r="A64" s="75">
        <v>4601546080943</v>
      </c>
      <c r="B64" s="3" t="s">
        <v>384</v>
      </c>
      <c r="C64" s="4" t="s">
        <v>388</v>
      </c>
      <c r="D64" s="5">
        <v>500</v>
      </c>
      <c r="E64" s="57">
        <f>9720000*$E$2</f>
        <v>9720000</v>
      </c>
    </row>
    <row r="65" spans="1:5" hidden="1" outlineLevel="1" x14ac:dyDescent="0.3">
      <c r="A65" s="75">
        <v>4601546124340</v>
      </c>
      <c r="B65" s="3" t="s">
        <v>385</v>
      </c>
      <c r="C65" s="4" t="s">
        <v>388</v>
      </c>
      <c r="D65" s="5">
        <v>1</v>
      </c>
      <c r="E65" s="57">
        <f>18000*$E$2</f>
        <v>18000</v>
      </c>
    </row>
    <row r="66" spans="1:5" hidden="1" outlineLevel="1" x14ac:dyDescent="0.3">
      <c r="A66" s="75">
        <v>4601546124357</v>
      </c>
      <c r="B66" s="3" t="s">
        <v>386</v>
      </c>
      <c r="C66" s="4" t="s">
        <v>388</v>
      </c>
      <c r="D66" s="5">
        <v>5</v>
      </c>
      <c r="E66" s="57">
        <f>67800*$E$2</f>
        <v>67800</v>
      </c>
    </row>
    <row r="67" spans="1:5" hidden="1" outlineLevel="1" x14ac:dyDescent="0.3">
      <c r="A67" s="75">
        <v>4601546124364</v>
      </c>
      <c r="B67" s="3" t="s">
        <v>387</v>
      </c>
      <c r="C67" s="4" t="s">
        <v>388</v>
      </c>
      <c r="D67" s="5">
        <v>10</v>
      </c>
      <c r="E67" s="57">
        <f>126000*$E$2</f>
        <v>126000</v>
      </c>
    </row>
    <row r="68" spans="1:5" hidden="1" outlineLevel="1" x14ac:dyDescent="0.3">
      <c r="A68" s="75">
        <v>4601546138071</v>
      </c>
      <c r="B68" s="3" t="s">
        <v>392</v>
      </c>
      <c r="C68" s="4" t="s">
        <v>373</v>
      </c>
      <c r="D68" s="5">
        <v>1</v>
      </c>
      <c r="E68" s="57">
        <f>43200*$E$2</f>
        <v>43200</v>
      </c>
    </row>
    <row r="69" spans="1:5" hidden="1" outlineLevel="1" x14ac:dyDescent="0.3">
      <c r="A69" s="75">
        <v>4601546138088</v>
      </c>
      <c r="B69" s="3" t="s">
        <v>393</v>
      </c>
      <c r="C69" s="4" t="s">
        <v>373</v>
      </c>
      <c r="D69" s="5">
        <v>5</v>
      </c>
      <c r="E69" s="57">
        <f>146880*$E$2</f>
        <v>146880</v>
      </c>
    </row>
    <row r="70" spans="1:5" hidden="1" outlineLevel="1" x14ac:dyDescent="0.3">
      <c r="A70" s="75">
        <v>4601546138095</v>
      </c>
      <c r="B70" s="3" t="s">
        <v>394</v>
      </c>
      <c r="C70" s="4" t="s">
        <v>373</v>
      </c>
      <c r="D70" s="5">
        <v>10</v>
      </c>
      <c r="E70" s="57">
        <f>270720*$E$2</f>
        <v>270720</v>
      </c>
    </row>
    <row r="71" spans="1:5" hidden="1" outlineLevel="1" x14ac:dyDescent="0.3">
      <c r="A71" s="75">
        <v>4601546138101</v>
      </c>
      <c r="B71" s="3" t="s">
        <v>395</v>
      </c>
      <c r="C71" s="4" t="s">
        <v>373</v>
      </c>
      <c r="D71" s="5">
        <v>20</v>
      </c>
      <c r="E71" s="57">
        <f>514080*$E$2</f>
        <v>514080</v>
      </c>
    </row>
    <row r="72" spans="1:5" hidden="1" outlineLevel="1" x14ac:dyDescent="0.3">
      <c r="A72" s="75">
        <v>4601546138118</v>
      </c>
      <c r="B72" s="3" t="s">
        <v>396</v>
      </c>
      <c r="C72" s="4" t="s">
        <v>373</v>
      </c>
      <c r="D72" s="5">
        <v>50</v>
      </c>
      <c r="E72" s="57">
        <f>1192320*$E$2</f>
        <v>1192320</v>
      </c>
    </row>
    <row r="73" spans="1:5" hidden="1" outlineLevel="1" x14ac:dyDescent="0.3">
      <c r="A73" s="75">
        <v>4601546138125</v>
      </c>
      <c r="B73" s="3" t="s">
        <v>397</v>
      </c>
      <c r="C73" s="4" t="s">
        <v>373</v>
      </c>
      <c r="D73" s="5">
        <v>100</v>
      </c>
      <c r="E73" s="57">
        <f>2332800*$E$2</f>
        <v>2332800</v>
      </c>
    </row>
    <row r="74" spans="1:5" hidden="1" outlineLevel="1" x14ac:dyDescent="0.3">
      <c r="A74" s="75">
        <v>4601546138132</v>
      </c>
      <c r="B74" s="3" t="s">
        <v>398</v>
      </c>
      <c r="C74" s="4" t="s">
        <v>373</v>
      </c>
      <c r="D74" s="5">
        <v>300</v>
      </c>
      <c r="E74" s="57">
        <f>6998400*$E$2</f>
        <v>6998400</v>
      </c>
    </row>
    <row r="75" spans="1:5" hidden="1" outlineLevel="1" x14ac:dyDescent="0.3">
      <c r="A75" s="75">
        <v>4601546138149</v>
      </c>
      <c r="B75" s="3" t="s">
        <v>399</v>
      </c>
      <c r="C75" s="4" t="s">
        <v>373</v>
      </c>
      <c r="D75" s="5">
        <v>500</v>
      </c>
      <c r="E75" s="57">
        <f>11664000*$E$2</f>
        <v>11664000</v>
      </c>
    </row>
    <row r="76" spans="1:5" hidden="1" outlineLevel="1" x14ac:dyDescent="0.3">
      <c r="A76" s="75">
        <v>4601546030443</v>
      </c>
      <c r="B76" s="3" t="s">
        <v>400</v>
      </c>
      <c r="C76" s="4" t="s">
        <v>373</v>
      </c>
      <c r="D76" s="5">
        <v>1</v>
      </c>
      <c r="E76" s="57">
        <f>7000*$E$2</f>
        <v>7000</v>
      </c>
    </row>
    <row r="77" spans="1:5" hidden="1" outlineLevel="1" x14ac:dyDescent="0.3">
      <c r="A77" s="75">
        <v>4601546078605</v>
      </c>
      <c r="B77" s="3" t="s">
        <v>401</v>
      </c>
      <c r="C77" s="4" t="s">
        <v>373</v>
      </c>
      <c r="D77" s="5">
        <v>1</v>
      </c>
      <c r="E77" s="57">
        <f>23400*$E$2</f>
        <v>23400</v>
      </c>
    </row>
    <row r="78" spans="1:5" hidden="1" outlineLevel="1" x14ac:dyDescent="0.3">
      <c r="A78" s="75">
        <v>4601546078612</v>
      </c>
      <c r="B78" s="3" t="s">
        <v>402</v>
      </c>
      <c r="C78" s="4" t="s">
        <v>373</v>
      </c>
      <c r="D78" s="5">
        <v>5</v>
      </c>
      <c r="E78" s="57">
        <f>87800*$E$2</f>
        <v>87800</v>
      </c>
    </row>
    <row r="79" spans="1:5" hidden="1" outlineLevel="1" x14ac:dyDescent="0.3">
      <c r="A79" s="75">
        <v>4601546078629</v>
      </c>
      <c r="B79" s="3" t="s">
        <v>403</v>
      </c>
      <c r="C79" s="4" t="s">
        <v>373</v>
      </c>
      <c r="D79" s="5">
        <v>10</v>
      </c>
      <c r="E79" s="57">
        <f>163800*$E$2</f>
        <v>163800</v>
      </c>
    </row>
    <row r="80" spans="1:5" hidden="1" outlineLevel="1" x14ac:dyDescent="0.3">
      <c r="A80" s="75">
        <v>4601546078940</v>
      </c>
      <c r="B80" s="3" t="s">
        <v>404</v>
      </c>
      <c r="C80" s="4" t="s">
        <v>373</v>
      </c>
      <c r="D80" s="5">
        <v>1</v>
      </c>
      <c r="E80" s="57">
        <f>151045*$E$2</f>
        <v>151045</v>
      </c>
    </row>
    <row r="81" spans="1:5" hidden="1" outlineLevel="1" x14ac:dyDescent="0.3">
      <c r="A81" s="75">
        <v>4601546078957</v>
      </c>
      <c r="B81" s="3" t="s">
        <v>405</v>
      </c>
      <c r="C81" s="4" t="s">
        <v>373</v>
      </c>
      <c r="D81" s="5">
        <v>5</v>
      </c>
      <c r="E81" s="57">
        <f>543750*$E$2</f>
        <v>543750</v>
      </c>
    </row>
    <row r="82" spans="1:5" hidden="1" outlineLevel="1" x14ac:dyDescent="0.3">
      <c r="A82" s="75">
        <v>4601546078964</v>
      </c>
      <c r="B82" s="3" t="s">
        <v>406</v>
      </c>
      <c r="C82" s="4" t="s">
        <v>373</v>
      </c>
      <c r="D82" s="5">
        <v>10</v>
      </c>
      <c r="E82" s="57">
        <f>996875*$E$2</f>
        <v>996875</v>
      </c>
    </row>
    <row r="83" spans="1:5" hidden="1" outlineLevel="1" x14ac:dyDescent="0.3">
      <c r="A83" s="75">
        <v>4601546078971</v>
      </c>
      <c r="B83" s="3" t="s">
        <v>407</v>
      </c>
      <c r="C83" s="4" t="s">
        <v>373</v>
      </c>
      <c r="D83" s="5">
        <v>20</v>
      </c>
      <c r="E83" s="57">
        <f>1872920*$E$2</f>
        <v>1872920</v>
      </c>
    </row>
    <row r="84" spans="1:5" hidden="1" outlineLevel="1" x14ac:dyDescent="0.3">
      <c r="A84" s="75">
        <v>4601546078988</v>
      </c>
      <c r="B84" s="3" t="s">
        <v>408</v>
      </c>
      <c r="C84" s="4" t="s">
        <v>373</v>
      </c>
      <c r="D84" s="5">
        <v>50</v>
      </c>
      <c r="E84" s="57">
        <f>4507085*$E$2</f>
        <v>4507085</v>
      </c>
    </row>
    <row r="85" spans="1:5" hidden="1" outlineLevel="1" x14ac:dyDescent="0.3">
      <c r="A85" s="75">
        <v>4601546078995</v>
      </c>
      <c r="B85" s="3" t="s">
        <v>409</v>
      </c>
      <c r="C85" s="4" t="s">
        <v>373</v>
      </c>
      <c r="D85" s="5">
        <v>100</v>
      </c>
      <c r="E85" s="57">
        <f>8458335*$E$2</f>
        <v>8458335</v>
      </c>
    </row>
    <row r="86" spans="1:5" collapsed="1" x14ac:dyDescent="0.3">
      <c r="A86" s="73" t="s">
        <v>335</v>
      </c>
      <c r="B86" s="73"/>
      <c r="C86" s="73"/>
      <c r="D86" s="73"/>
      <c r="E86" s="61"/>
    </row>
    <row r="87" spans="1:5" hidden="1" outlineLevel="1" x14ac:dyDescent="0.3">
      <c r="A87" s="75">
        <v>4601546106773</v>
      </c>
      <c r="B87" s="3" t="s">
        <v>389</v>
      </c>
      <c r="C87" s="4" t="s">
        <v>388</v>
      </c>
      <c r="D87" s="5">
        <v>1</v>
      </c>
      <c r="E87" s="57">
        <f>113400*$E$2</f>
        <v>113400</v>
      </c>
    </row>
    <row r="88" spans="1:5" hidden="1" outlineLevel="1" x14ac:dyDescent="0.3">
      <c r="A88" s="75">
        <v>4601546106780</v>
      </c>
      <c r="B88" s="3" t="s">
        <v>390</v>
      </c>
      <c r="C88" s="4" t="s">
        <v>388</v>
      </c>
      <c r="D88" s="5">
        <v>1</v>
      </c>
      <c r="E88" s="57">
        <f>194400*$E$2</f>
        <v>194400</v>
      </c>
    </row>
    <row r="89" spans="1:5" hidden="1" outlineLevel="1" x14ac:dyDescent="0.3">
      <c r="A89" s="75">
        <v>4601546109019</v>
      </c>
      <c r="B89" s="3" t="s">
        <v>391</v>
      </c>
      <c r="C89" s="4" t="s">
        <v>388</v>
      </c>
      <c r="D89" s="5">
        <v>5</v>
      </c>
      <c r="E89" s="57">
        <f>38880*$E$2</f>
        <v>38880</v>
      </c>
    </row>
    <row r="90" spans="1:5" hidden="1" outlineLevel="1" x14ac:dyDescent="0.3">
      <c r="A90" s="75">
        <v>4601546138156</v>
      </c>
      <c r="B90" s="3" t="s">
        <v>410</v>
      </c>
      <c r="C90" s="4" t="s">
        <v>373</v>
      </c>
      <c r="D90" s="5">
        <v>1</v>
      </c>
      <c r="E90" s="57">
        <f>302400*$E$2</f>
        <v>302400</v>
      </c>
    </row>
    <row r="91" spans="1:5" hidden="1" outlineLevel="1" x14ac:dyDescent="0.3">
      <c r="A91" s="75">
        <v>4601546138064</v>
      </c>
      <c r="B91" s="3" t="s">
        <v>411</v>
      </c>
      <c r="C91" s="4" t="s">
        <v>373</v>
      </c>
      <c r="D91" s="5">
        <v>1</v>
      </c>
      <c r="E91" s="57">
        <f>518400*$E$2</f>
        <v>518400</v>
      </c>
    </row>
    <row r="92" spans="1:5" collapsed="1" x14ac:dyDescent="0.3">
      <c r="A92" s="73" t="s">
        <v>336</v>
      </c>
      <c r="B92" s="73"/>
      <c r="C92" s="73"/>
      <c r="D92" s="73"/>
      <c r="E92" s="61"/>
    </row>
    <row r="93" spans="1:5" hidden="1" outlineLevel="1" x14ac:dyDescent="0.3">
      <c r="A93" s="75">
        <v>4601546128027</v>
      </c>
      <c r="B93" s="3" t="s">
        <v>412</v>
      </c>
      <c r="C93" s="4" t="s">
        <v>448</v>
      </c>
      <c r="D93" s="5">
        <v>1</v>
      </c>
      <c r="E93" s="57">
        <f>113789*$E$2</f>
        <v>113789</v>
      </c>
    </row>
    <row r="94" spans="1:5" hidden="1" outlineLevel="1" x14ac:dyDescent="0.3">
      <c r="A94" s="75">
        <v>4601546128034</v>
      </c>
      <c r="B94" s="3" t="s">
        <v>413</v>
      </c>
      <c r="C94" s="4" t="s">
        <v>449</v>
      </c>
      <c r="D94" s="5">
        <v>1</v>
      </c>
      <c r="E94" s="57">
        <f>57596*$E$2</f>
        <v>57596</v>
      </c>
    </row>
    <row r="95" spans="1:5" hidden="1" outlineLevel="1" x14ac:dyDescent="0.3">
      <c r="A95" s="75">
        <v>4601546128041</v>
      </c>
      <c r="B95" s="3" t="s">
        <v>414</v>
      </c>
      <c r="C95" s="4" t="s">
        <v>449</v>
      </c>
      <c r="D95" s="5">
        <v>5</v>
      </c>
      <c r="E95" s="57">
        <f>287993*$E$2</f>
        <v>287993</v>
      </c>
    </row>
    <row r="96" spans="1:5" hidden="1" outlineLevel="1" x14ac:dyDescent="0.3">
      <c r="A96" s="75">
        <v>4601546128058</v>
      </c>
      <c r="B96" s="3" t="s">
        <v>415</v>
      </c>
      <c r="C96" s="4" t="s">
        <v>449</v>
      </c>
      <c r="D96" s="5">
        <v>10</v>
      </c>
      <c r="E96" s="57">
        <f>575980*$E$2</f>
        <v>575980</v>
      </c>
    </row>
    <row r="97" spans="1:5" hidden="1" outlineLevel="1" x14ac:dyDescent="0.3">
      <c r="A97" s="75">
        <v>4601546128065</v>
      </c>
      <c r="B97" s="3" t="s">
        <v>416</v>
      </c>
      <c r="C97" s="4" t="s">
        <v>449</v>
      </c>
      <c r="D97" s="5">
        <v>20</v>
      </c>
      <c r="E97" s="57">
        <f>1151967*$E$2</f>
        <v>1151967</v>
      </c>
    </row>
    <row r="98" spans="1:5" hidden="1" outlineLevel="1" x14ac:dyDescent="0.3">
      <c r="A98" s="75">
        <v>4601546128072</v>
      </c>
      <c r="B98" s="3" t="s">
        <v>417</v>
      </c>
      <c r="C98" s="4" t="s">
        <v>449</v>
      </c>
      <c r="D98" s="5">
        <v>50</v>
      </c>
      <c r="E98" s="57">
        <f>2879914*$E$2</f>
        <v>2879914</v>
      </c>
    </row>
    <row r="99" spans="1:5" hidden="1" outlineLevel="1" x14ac:dyDescent="0.3">
      <c r="A99" s="75">
        <v>4601546128089</v>
      </c>
      <c r="B99" s="3" t="s">
        <v>418</v>
      </c>
      <c r="C99" s="4" t="s">
        <v>449</v>
      </c>
      <c r="D99" s="5">
        <v>100</v>
      </c>
      <c r="E99" s="57">
        <f>5759827*$E$2</f>
        <v>5759827</v>
      </c>
    </row>
    <row r="100" spans="1:5" hidden="1" outlineLevel="1" x14ac:dyDescent="0.3">
      <c r="A100" s="75">
        <v>4601546128096</v>
      </c>
      <c r="B100" s="3" t="s">
        <v>419</v>
      </c>
      <c r="C100" s="4" t="s">
        <v>448</v>
      </c>
      <c r="D100" s="5">
        <v>1</v>
      </c>
      <c r="E100" s="57">
        <f>308257*$E$2</f>
        <v>308257</v>
      </c>
    </row>
    <row r="101" spans="1:5" hidden="1" outlineLevel="1" x14ac:dyDescent="0.3">
      <c r="A101" s="75">
        <v>4601546128102</v>
      </c>
      <c r="B101" s="3" t="s">
        <v>420</v>
      </c>
      <c r="C101" s="4" t="s">
        <v>449</v>
      </c>
      <c r="D101" s="5">
        <v>1</v>
      </c>
      <c r="E101" s="57">
        <f>71718*$E$2</f>
        <v>71718</v>
      </c>
    </row>
    <row r="102" spans="1:5" hidden="1" outlineLevel="1" x14ac:dyDescent="0.3">
      <c r="A102" s="75">
        <v>4601546128119</v>
      </c>
      <c r="B102" s="3" t="s">
        <v>421</v>
      </c>
      <c r="C102" s="4" t="s">
        <v>449</v>
      </c>
      <c r="D102" s="5">
        <v>5</v>
      </c>
      <c r="E102" s="57">
        <f>358601*$E$2</f>
        <v>358601</v>
      </c>
    </row>
    <row r="103" spans="1:5" hidden="1" outlineLevel="1" x14ac:dyDescent="0.3">
      <c r="A103" s="75">
        <v>4601546128126</v>
      </c>
      <c r="B103" s="3" t="s">
        <v>422</v>
      </c>
      <c r="C103" s="4" t="s">
        <v>449</v>
      </c>
      <c r="D103" s="5">
        <v>10</v>
      </c>
      <c r="E103" s="57">
        <f>717201*$E$2</f>
        <v>717201</v>
      </c>
    </row>
    <row r="104" spans="1:5" hidden="1" outlineLevel="1" x14ac:dyDescent="0.3">
      <c r="A104" s="75">
        <v>4601546128133</v>
      </c>
      <c r="B104" s="3" t="s">
        <v>423</v>
      </c>
      <c r="C104" s="4" t="s">
        <v>449</v>
      </c>
      <c r="D104" s="5">
        <v>20</v>
      </c>
      <c r="E104" s="57">
        <f>1434403*$E$2</f>
        <v>1434403</v>
      </c>
    </row>
    <row r="105" spans="1:5" hidden="1" outlineLevel="1" x14ac:dyDescent="0.3">
      <c r="A105" s="75">
        <v>4601546128140</v>
      </c>
      <c r="B105" s="3" t="s">
        <v>424</v>
      </c>
      <c r="C105" s="4" t="s">
        <v>449</v>
      </c>
      <c r="D105" s="5">
        <v>50</v>
      </c>
      <c r="E105" s="57">
        <f>3586007*$E$2</f>
        <v>3586007</v>
      </c>
    </row>
    <row r="106" spans="1:5" hidden="1" outlineLevel="1" x14ac:dyDescent="0.3">
      <c r="A106" s="75">
        <v>4601546128157</v>
      </c>
      <c r="B106" s="3" t="s">
        <v>425</v>
      </c>
      <c r="C106" s="4" t="s">
        <v>449</v>
      </c>
      <c r="D106" s="5">
        <v>100</v>
      </c>
      <c r="E106" s="57">
        <f>7172020*$E$2</f>
        <v>7172020</v>
      </c>
    </row>
    <row r="107" spans="1:5" hidden="1" outlineLevel="1" x14ac:dyDescent="0.3">
      <c r="A107" s="75">
        <v>4601546128164</v>
      </c>
      <c r="B107" s="3" t="s">
        <v>426</v>
      </c>
      <c r="C107" s="4" t="s">
        <v>450</v>
      </c>
      <c r="D107" s="5" t="s">
        <v>451</v>
      </c>
      <c r="E107" s="57">
        <f>2093605*$E$2</f>
        <v>2093605</v>
      </c>
    </row>
    <row r="108" spans="1:5" hidden="1" outlineLevel="1" x14ac:dyDescent="0.3">
      <c r="A108" s="75">
        <v>4601546128171</v>
      </c>
      <c r="B108" s="3" t="s">
        <v>427</v>
      </c>
      <c r="C108" s="4" t="s">
        <v>450</v>
      </c>
      <c r="D108" s="5" t="s">
        <v>451</v>
      </c>
      <c r="E108" s="57">
        <f>1046803*$E$2</f>
        <v>1046803</v>
      </c>
    </row>
    <row r="109" spans="1:5" hidden="1" outlineLevel="1" x14ac:dyDescent="0.3">
      <c r="A109" s="75">
        <v>4601546128188</v>
      </c>
      <c r="B109" s="3" t="s">
        <v>428</v>
      </c>
      <c r="C109" s="4" t="s">
        <v>450</v>
      </c>
      <c r="D109" s="5" t="s">
        <v>451</v>
      </c>
      <c r="E109" s="57">
        <f>8028064*$E$2</f>
        <v>8028064</v>
      </c>
    </row>
    <row r="110" spans="1:5" hidden="1" outlineLevel="1" x14ac:dyDescent="0.3">
      <c r="A110" s="75">
        <v>4601546128195</v>
      </c>
      <c r="B110" s="3" t="s">
        <v>429</v>
      </c>
      <c r="C110" s="4" t="s">
        <v>450</v>
      </c>
      <c r="D110" s="5" t="s">
        <v>451</v>
      </c>
      <c r="E110" s="57">
        <f>4014032*$E$2</f>
        <v>4014032</v>
      </c>
    </row>
    <row r="111" spans="1:5" hidden="1" outlineLevel="1" x14ac:dyDescent="0.3">
      <c r="A111" s="75">
        <v>4601546112637</v>
      </c>
      <c r="B111" s="3" t="s">
        <v>430</v>
      </c>
      <c r="C111" s="4" t="s">
        <v>448</v>
      </c>
      <c r="D111" s="5">
        <v>1</v>
      </c>
      <c r="E111" s="57">
        <f>141938*$E$2</f>
        <v>141938</v>
      </c>
    </row>
    <row r="112" spans="1:5" hidden="1" outlineLevel="1" x14ac:dyDescent="0.3">
      <c r="A112" s="75">
        <v>4601546112644</v>
      </c>
      <c r="B112" s="3" t="s">
        <v>431</v>
      </c>
      <c r="C112" s="4" t="s">
        <v>449</v>
      </c>
      <c r="D112" s="5">
        <v>1</v>
      </c>
      <c r="E112" s="57">
        <f>63874*$E$2</f>
        <v>63874</v>
      </c>
    </row>
    <row r="113" spans="1:5" hidden="1" outlineLevel="1" x14ac:dyDescent="0.3">
      <c r="A113" s="75">
        <v>4601546112651</v>
      </c>
      <c r="B113" s="3" t="s">
        <v>432</v>
      </c>
      <c r="C113" s="4" t="s">
        <v>449</v>
      </c>
      <c r="D113" s="5">
        <v>5</v>
      </c>
      <c r="E113" s="57">
        <f>319357*$E$2</f>
        <v>319357</v>
      </c>
    </row>
    <row r="114" spans="1:5" hidden="1" outlineLevel="1" x14ac:dyDescent="0.3">
      <c r="A114" s="75">
        <v>4601546112668</v>
      </c>
      <c r="B114" s="3" t="s">
        <v>433</v>
      </c>
      <c r="C114" s="4" t="s">
        <v>449</v>
      </c>
      <c r="D114" s="5">
        <v>10</v>
      </c>
      <c r="E114" s="57">
        <f>638714*$E$2</f>
        <v>638714</v>
      </c>
    </row>
    <row r="115" spans="1:5" hidden="1" outlineLevel="1" x14ac:dyDescent="0.3">
      <c r="A115" s="75">
        <v>4601546112675</v>
      </c>
      <c r="B115" s="3" t="s">
        <v>434</v>
      </c>
      <c r="C115" s="4" t="s">
        <v>449</v>
      </c>
      <c r="D115" s="5">
        <v>20</v>
      </c>
      <c r="E115" s="57">
        <f>1277433*$E$2</f>
        <v>1277433</v>
      </c>
    </row>
    <row r="116" spans="1:5" hidden="1" outlineLevel="1" x14ac:dyDescent="0.3">
      <c r="A116" s="75">
        <v>4601546112682</v>
      </c>
      <c r="B116" s="3" t="s">
        <v>435</v>
      </c>
      <c r="C116" s="4" t="s">
        <v>449</v>
      </c>
      <c r="D116" s="5">
        <v>50</v>
      </c>
      <c r="E116" s="57">
        <f>3193579*$E$2</f>
        <v>3193579</v>
      </c>
    </row>
    <row r="117" spans="1:5" hidden="1" outlineLevel="1" x14ac:dyDescent="0.3">
      <c r="A117" s="75">
        <v>4601546112699</v>
      </c>
      <c r="B117" s="3" t="s">
        <v>436</v>
      </c>
      <c r="C117" s="4" t="s">
        <v>449</v>
      </c>
      <c r="D117" s="5">
        <v>100</v>
      </c>
      <c r="E117" s="57">
        <f>6387158*$E$2</f>
        <v>6387158</v>
      </c>
    </row>
    <row r="118" spans="1:5" hidden="1" outlineLevel="1" x14ac:dyDescent="0.3">
      <c r="A118" s="75">
        <v>4601546112705</v>
      </c>
      <c r="B118" s="3" t="s">
        <v>437</v>
      </c>
      <c r="C118" s="4" t="s">
        <v>448</v>
      </c>
      <c r="D118" s="5">
        <v>1</v>
      </c>
      <c r="E118" s="57">
        <f>330322*$E$2</f>
        <v>330322</v>
      </c>
    </row>
    <row r="119" spans="1:5" hidden="1" outlineLevel="1" x14ac:dyDescent="0.3">
      <c r="A119" s="75">
        <v>4601546112712</v>
      </c>
      <c r="B119" s="3" t="s">
        <v>438</v>
      </c>
      <c r="C119" s="4" t="s">
        <v>449</v>
      </c>
      <c r="D119" s="5">
        <v>1</v>
      </c>
      <c r="E119" s="57">
        <f>76854*$E$2</f>
        <v>76854</v>
      </c>
    </row>
    <row r="120" spans="1:5" hidden="1" outlineLevel="1" x14ac:dyDescent="0.3">
      <c r="A120" s="75">
        <v>4601546112729</v>
      </c>
      <c r="B120" s="3" t="s">
        <v>439</v>
      </c>
      <c r="C120" s="4" t="s">
        <v>449</v>
      </c>
      <c r="D120" s="5">
        <v>5</v>
      </c>
      <c r="E120" s="57">
        <f>384266*$E$2</f>
        <v>384266</v>
      </c>
    </row>
    <row r="121" spans="1:5" hidden="1" outlineLevel="1" x14ac:dyDescent="0.3">
      <c r="A121" s="75">
        <v>4601546112736</v>
      </c>
      <c r="B121" s="3" t="s">
        <v>440</v>
      </c>
      <c r="C121" s="4" t="s">
        <v>449</v>
      </c>
      <c r="D121" s="5">
        <v>10</v>
      </c>
      <c r="E121" s="57">
        <f>768538*$E$2</f>
        <v>768538</v>
      </c>
    </row>
    <row r="122" spans="1:5" hidden="1" outlineLevel="1" x14ac:dyDescent="0.3">
      <c r="A122" s="75">
        <v>4601546112743</v>
      </c>
      <c r="B122" s="3" t="s">
        <v>441</v>
      </c>
      <c r="C122" s="4" t="s">
        <v>449</v>
      </c>
      <c r="D122" s="5">
        <v>20</v>
      </c>
      <c r="E122" s="57">
        <f>1537071*$E$2</f>
        <v>1537071</v>
      </c>
    </row>
    <row r="123" spans="1:5" hidden="1" outlineLevel="1" x14ac:dyDescent="0.3">
      <c r="A123" s="75">
        <v>4601546112750</v>
      </c>
      <c r="B123" s="3" t="s">
        <v>442</v>
      </c>
      <c r="C123" s="4" t="s">
        <v>449</v>
      </c>
      <c r="D123" s="5">
        <v>50</v>
      </c>
      <c r="E123" s="57">
        <f>3842681*$E$2</f>
        <v>3842681</v>
      </c>
    </row>
    <row r="124" spans="1:5" hidden="1" outlineLevel="1" x14ac:dyDescent="0.3">
      <c r="A124" s="75">
        <v>4601546112767</v>
      </c>
      <c r="B124" s="3" t="s">
        <v>443</v>
      </c>
      <c r="C124" s="4" t="s">
        <v>449</v>
      </c>
      <c r="D124" s="5">
        <v>100</v>
      </c>
      <c r="E124" s="57">
        <f>7685362*$E$2</f>
        <v>7685362</v>
      </c>
    </row>
    <row r="125" spans="1:5" hidden="1" outlineLevel="1" x14ac:dyDescent="0.3">
      <c r="A125" s="75">
        <v>4601546112774</v>
      </c>
      <c r="B125" s="3" t="s">
        <v>444</v>
      </c>
      <c r="C125" s="4" t="s">
        <v>450</v>
      </c>
      <c r="D125" s="5" t="s">
        <v>451</v>
      </c>
      <c r="E125" s="57">
        <f>2006346*$E$2</f>
        <v>2006346</v>
      </c>
    </row>
    <row r="126" spans="1:5" hidden="1" outlineLevel="1" x14ac:dyDescent="0.3">
      <c r="A126" s="75">
        <v>4601546112781</v>
      </c>
      <c r="B126" s="3" t="s">
        <v>445</v>
      </c>
      <c r="C126" s="4" t="s">
        <v>450</v>
      </c>
      <c r="D126" s="5" t="s">
        <v>451</v>
      </c>
      <c r="E126" s="57">
        <f>1003173*$E$2</f>
        <v>1003173</v>
      </c>
    </row>
    <row r="127" spans="1:5" hidden="1" outlineLevel="1" x14ac:dyDescent="0.3">
      <c r="A127" s="75">
        <v>4601546112798</v>
      </c>
      <c r="B127" s="3" t="s">
        <v>446</v>
      </c>
      <c r="C127" s="4" t="s">
        <v>450</v>
      </c>
      <c r="D127" s="5" t="s">
        <v>451</v>
      </c>
      <c r="E127" s="57">
        <f>7693459*$E$2</f>
        <v>7693459</v>
      </c>
    </row>
    <row r="128" spans="1:5" hidden="1" outlineLevel="1" x14ac:dyDescent="0.3">
      <c r="A128" s="75">
        <v>4601546112804</v>
      </c>
      <c r="B128" s="3" t="s">
        <v>447</v>
      </c>
      <c r="C128" s="4" t="s">
        <v>450</v>
      </c>
      <c r="D128" s="5" t="s">
        <v>451</v>
      </c>
      <c r="E128" s="57">
        <f>3846730*$E$2</f>
        <v>3846730</v>
      </c>
    </row>
    <row r="129" spans="1:5" collapsed="1" x14ac:dyDescent="0.3">
      <c r="A129" s="73" t="s">
        <v>337</v>
      </c>
      <c r="B129" s="73"/>
      <c r="C129" s="73"/>
      <c r="D129" s="73"/>
      <c r="E129" s="61"/>
    </row>
    <row r="130" spans="1:5" hidden="1" outlineLevel="1" x14ac:dyDescent="0.3">
      <c r="A130" s="3"/>
      <c r="B130" s="3" t="s">
        <v>453</v>
      </c>
      <c r="C130" s="4" t="s">
        <v>455</v>
      </c>
      <c r="D130" s="5"/>
      <c r="E130" s="57">
        <f>54000*$E$2</f>
        <v>54000</v>
      </c>
    </row>
    <row r="131" spans="1:5" hidden="1" outlineLevel="1" x14ac:dyDescent="0.3">
      <c r="A131" s="3"/>
      <c r="B131" s="3" t="s">
        <v>454</v>
      </c>
      <c r="C131" s="4" t="s">
        <v>456</v>
      </c>
      <c r="D131" s="5"/>
      <c r="E131" s="57">
        <f>28500*$E$2</f>
        <v>28500</v>
      </c>
    </row>
    <row r="132" spans="1:5" hidden="1" outlineLevel="1" x14ac:dyDescent="0.3">
      <c r="A132" s="3"/>
      <c r="B132" s="3" t="s">
        <v>457</v>
      </c>
      <c r="C132" s="4" t="s">
        <v>375</v>
      </c>
      <c r="D132" s="5"/>
      <c r="E132" s="57">
        <f>2250*$E$2</f>
        <v>2250</v>
      </c>
    </row>
    <row r="133" spans="1:5" hidden="1" outlineLevel="1" x14ac:dyDescent="0.3">
      <c r="A133" s="3"/>
      <c r="B133" s="3" t="s">
        <v>458</v>
      </c>
      <c r="C133" s="4" t="s">
        <v>468</v>
      </c>
      <c r="D133" s="5"/>
      <c r="E133" s="57">
        <f>4500*$E$2</f>
        <v>4500</v>
      </c>
    </row>
    <row r="134" spans="1:5" hidden="1" outlineLevel="1" x14ac:dyDescent="0.3">
      <c r="A134" s="3"/>
      <c r="B134" s="3" t="s">
        <v>459</v>
      </c>
      <c r="C134" s="4" t="s">
        <v>469</v>
      </c>
      <c r="D134" s="5"/>
      <c r="E134" s="57">
        <f>6750*$E$2</f>
        <v>6750</v>
      </c>
    </row>
    <row r="135" spans="1:5" hidden="1" outlineLevel="1" x14ac:dyDescent="0.3">
      <c r="A135" s="3"/>
      <c r="B135" s="3" t="s">
        <v>460</v>
      </c>
      <c r="C135" s="4" t="s">
        <v>470</v>
      </c>
      <c r="D135" s="5"/>
      <c r="E135" s="57">
        <f>9000*$E$2</f>
        <v>9000</v>
      </c>
    </row>
    <row r="136" spans="1:5" hidden="1" outlineLevel="1" x14ac:dyDescent="0.3">
      <c r="A136" s="3"/>
      <c r="B136" s="3" t="s">
        <v>461</v>
      </c>
      <c r="C136" s="4" t="s">
        <v>471</v>
      </c>
      <c r="D136" s="5"/>
      <c r="E136" s="57">
        <f>11250*$E$2</f>
        <v>11250</v>
      </c>
    </row>
    <row r="137" spans="1:5" hidden="1" outlineLevel="1" x14ac:dyDescent="0.3">
      <c r="A137" s="3"/>
      <c r="B137" s="3" t="s">
        <v>462</v>
      </c>
      <c r="C137" s="4" t="s">
        <v>456</v>
      </c>
      <c r="D137" s="5"/>
      <c r="E137" s="57">
        <f>13500*$E$2</f>
        <v>13500</v>
      </c>
    </row>
    <row r="138" spans="1:5" hidden="1" outlineLevel="1" x14ac:dyDescent="0.3">
      <c r="A138" s="3"/>
      <c r="B138" s="3" t="s">
        <v>463</v>
      </c>
      <c r="C138" s="4" t="s">
        <v>472</v>
      </c>
      <c r="D138" s="5"/>
      <c r="E138" s="57">
        <f>15750*$E$2</f>
        <v>15750</v>
      </c>
    </row>
    <row r="139" spans="1:5" hidden="1" outlineLevel="1" x14ac:dyDescent="0.3">
      <c r="A139" s="3"/>
      <c r="B139" s="3" t="s">
        <v>464</v>
      </c>
      <c r="C139" s="4" t="s">
        <v>473</v>
      </c>
      <c r="D139" s="5"/>
      <c r="E139" s="57">
        <f>18000*$E$2</f>
        <v>18000</v>
      </c>
    </row>
    <row r="140" spans="1:5" hidden="1" outlineLevel="1" x14ac:dyDescent="0.3">
      <c r="A140" s="3"/>
      <c r="B140" s="3" t="s">
        <v>465</v>
      </c>
      <c r="C140" s="4" t="s">
        <v>474</v>
      </c>
      <c r="D140" s="5"/>
      <c r="E140" s="57">
        <f>20250*$E$2</f>
        <v>20250</v>
      </c>
    </row>
    <row r="141" spans="1:5" hidden="1" outlineLevel="1" x14ac:dyDescent="0.3">
      <c r="A141" s="3"/>
      <c r="B141" s="3" t="s">
        <v>466</v>
      </c>
      <c r="C141" s="4" t="s">
        <v>475</v>
      </c>
      <c r="D141" s="5"/>
      <c r="E141" s="57">
        <f>22500*$E$2</f>
        <v>22500</v>
      </c>
    </row>
    <row r="142" spans="1:5" hidden="1" outlineLevel="1" x14ac:dyDescent="0.3">
      <c r="A142" s="3"/>
      <c r="B142" s="3" t="s">
        <v>467</v>
      </c>
      <c r="C142" s="4" t="s">
        <v>476</v>
      </c>
      <c r="D142" s="5"/>
      <c r="E142" s="57">
        <f>24750*$E$2</f>
        <v>24750</v>
      </c>
    </row>
    <row r="143" spans="1:5" hidden="1" outlineLevel="1" x14ac:dyDescent="0.3">
      <c r="A143" s="3"/>
      <c r="B143" s="3" t="s">
        <v>477</v>
      </c>
      <c r="C143" s="4" t="s">
        <v>455</v>
      </c>
      <c r="D143" s="5"/>
      <c r="E143" s="57">
        <f>110000*$E$2</f>
        <v>110000</v>
      </c>
    </row>
    <row r="144" spans="1:5" hidden="1" outlineLevel="1" x14ac:dyDescent="0.3">
      <c r="A144" s="3"/>
      <c r="B144" s="3" t="s">
        <v>478</v>
      </c>
      <c r="C144" s="4" t="s">
        <v>456</v>
      </c>
      <c r="D144" s="5"/>
      <c r="E144" s="57">
        <f>58000*$E$2</f>
        <v>58000</v>
      </c>
    </row>
    <row r="145" spans="1:5" hidden="1" outlineLevel="1" x14ac:dyDescent="0.3">
      <c r="A145" s="3"/>
      <c r="B145" s="3" t="s">
        <v>479</v>
      </c>
      <c r="C145" s="4" t="s">
        <v>469</v>
      </c>
      <c r="D145" s="5"/>
      <c r="E145" s="57">
        <f>30000*$E$2</f>
        <v>30000</v>
      </c>
    </row>
    <row r="146" spans="1:5" hidden="1" outlineLevel="1" x14ac:dyDescent="0.3">
      <c r="A146" s="3"/>
      <c r="B146" s="3" t="s">
        <v>480</v>
      </c>
      <c r="C146" s="4" t="s">
        <v>375</v>
      </c>
      <c r="D146" s="5"/>
      <c r="E146" s="57">
        <f>15000*$E$2</f>
        <v>15000</v>
      </c>
    </row>
    <row r="147" spans="1:5" collapsed="1" x14ac:dyDescent="0.3"/>
  </sheetData>
  <autoFilter ref="A4:E146"/>
  <mergeCells count="6">
    <mergeCell ref="A1:E1"/>
    <mergeCell ref="A5:D5"/>
    <mergeCell ref="A56:D56"/>
    <mergeCell ref="A86:D86"/>
    <mergeCell ref="A92:D92"/>
    <mergeCell ref="A129:D129"/>
  </mergeCells>
  <hyperlinks>
    <hyperlink ref="A1:E1" location="Главная!A1" display="ВОЗВРАТ НА ГЛАВНУЮ СТРАНИЦУ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pane ySplit="4" topLeftCell="A5" activePane="bottomLeft" state="frozen"/>
      <selection pane="bottomLeft" activeCell="A3" sqref="A3"/>
    </sheetView>
  </sheetViews>
  <sheetFormatPr defaultRowHeight="14.4" x14ac:dyDescent="0.3"/>
  <cols>
    <col min="1" max="1" width="18.5546875" customWidth="1"/>
    <col min="2" max="2" width="99.44140625" bestFit="1" customWidth="1"/>
    <col min="3" max="3" width="16.21875" customWidth="1"/>
    <col min="4" max="4" width="9.77734375" customWidth="1"/>
    <col min="5" max="5" width="9.5546875" style="58" bestFit="1" customWidth="1"/>
  </cols>
  <sheetData>
    <row r="1" spans="1:5" ht="22.8" x14ac:dyDescent="0.4">
      <c r="A1" s="74" t="s">
        <v>61</v>
      </c>
      <c r="B1" s="74"/>
      <c r="C1" s="74"/>
      <c r="D1" s="74"/>
      <c r="E1" s="74"/>
    </row>
    <row r="2" spans="1:5" x14ac:dyDescent="0.3">
      <c r="A2" s="1" t="s">
        <v>338</v>
      </c>
      <c r="B2" s="1"/>
      <c r="C2" s="1"/>
      <c r="D2" s="1"/>
      <c r="E2" s="55"/>
    </row>
    <row r="3" spans="1:5" x14ac:dyDescent="0.3">
      <c r="A3" s="1"/>
      <c r="B3" s="1"/>
      <c r="C3" s="1"/>
      <c r="D3" s="1"/>
      <c r="E3" s="55"/>
    </row>
    <row r="4" spans="1:5" ht="20.399999999999999" x14ac:dyDescent="0.3">
      <c r="A4" s="2" t="s">
        <v>0</v>
      </c>
      <c r="B4" s="2" t="s">
        <v>1</v>
      </c>
      <c r="C4" s="2" t="s">
        <v>2</v>
      </c>
      <c r="D4" s="2" t="s">
        <v>3</v>
      </c>
      <c r="E4" s="56" t="s">
        <v>281</v>
      </c>
    </row>
    <row r="5" spans="1:5" x14ac:dyDescent="0.3">
      <c r="A5" s="73"/>
      <c r="B5" s="73"/>
      <c r="C5" s="73"/>
      <c r="D5" s="73"/>
      <c r="E5" s="61"/>
    </row>
    <row r="6" spans="1:5" x14ac:dyDescent="0.3">
      <c r="A6" s="3"/>
      <c r="B6" s="3"/>
      <c r="C6" s="4"/>
      <c r="D6" s="5"/>
      <c r="E6" s="57"/>
    </row>
    <row r="7" spans="1:5" x14ac:dyDescent="0.3">
      <c r="A7" s="3"/>
      <c r="B7" s="3"/>
      <c r="C7" s="4"/>
      <c r="D7" s="5"/>
      <c r="E7" s="57"/>
    </row>
    <row r="8" spans="1:5" x14ac:dyDescent="0.3">
      <c r="A8" s="3"/>
      <c r="B8" s="3"/>
      <c r="C8" s="4"/>
      <c r="D8" s="5"/>
      <c r="E8" s="57"/>
    </row>
    <row r="9" spans="1:5" x14ac:dyDescent="0.3">
      <c r="A9" s="3"/>
      <c r="B9" s="3"/>
      <c r="C9" s="4"/>
      <c r="D9" s="5"/>
      <c r="E9" s="57"/>
    </row>
    <row r="10" spans="1:5" x14ac:dyDescent="0.3">
      <c r="A10" s="3"/>
      <c r="B10" s="3"/>
      <c r="C10" s="4"/>
      <c r="D10" s="5"/>
      <c r="E10" s="57"/>
    </row>
    <row r="11" spans="1:5" x14ac:dyDescent="0.3">
      <c r="A11" s="3"/>
      <c r="B11" s="3"/>
      <c r="C11" s="4"/>
      <c r="D11" s="5"/>
      <c r="E11" s="57"/>
    </row>
    <row r="12" spans="1:5" x14ac:dyDescent="0.3">
      <c r="A12" s="3"/>
      <c r="B12" s="3"/>
      <c r="C12" s="4"/>
      <c r="D12" s="5"/>
      <c r="E12" s="57"/>
    </row>
    <row r="13" spans="1:5" x14ac:dyDescent="0.3">
      <c r="A13" s="3"/>
      <c r="B13" s="3"/>
      <c r="C13" s="4"/>
      <c r="D13" s="5"/>
      <c r="E13" s="57"/>
    </row>
    <row r="14" spans="1:5" x14ac:dyDescent="0.3">
      <c r="A14" s="3"/>
      <c r="B14" s="3"/>
      <c r="C14" s="4"/>
      <c r="D14" s="5"/>
      <c r="E14" s="57"/>
    </row>
    <row r="15" spans="1:5" x14ac:dyDescent="0.3">
      <c r="A15" s="3"/>
      <c r="B15" s="3"/>
      <c r="C15" s="4"/>
      <c r="D15" s="5"/>
      <c r="E15" s="57"/>
    </row>
    <row r="16" spans="1:5" x14ac:dyDescent="0.3">
      <c r="A16" s="3"/>
      <c r="B16" s="3"/>
      <c r="C16" s="4"/>
      <c r="D16" s="5"/>
      <c r="E16" s="57"/>
    </row>
    <row r="17" spans="1:5" x14ac:dyDescent="0.3">
      <c r="A17" s="3"/>
      <c r="B17" s="3"/>
      <c r="C17" s="4"/>
      <c r="D17" s="5"/>
      <c r="E17" s="57"/>
    </row>
    <row r="18" spans="1:5" x14ac:dyDescent="0.3">
      <c r="A18" s="3"/>
      <c r="B18" s="3"/>
      <c r="C18" s="4"/>
      <c r="D18" s="5"/>
      <c r="E18" s="57"/>
    </row>
    <row r="19" spans="1:5" x14ac:dyDescent="0.3">
      <c r="A19" s="3"/>
      <c r="B19" s="3"/>
      <c r="C19" s="4"/>
      <c r="D19" s="5"/>
      <c r="E19" s="57"/>
    </row>
    <row r="20" spans="1:5" x14ac:dyDescent="0.3">
      <c r="A20" s="73"/>
      <c r="B20" s="73"/>
      <c r="C20" s="73"/>
      <c r="D20" s="73"/>
      <c r="E20" s="61"/>
    </row>
    <row r="21" spans="1:5" x14ac:dyDescent="0.3">
      <c r="A21" s="3"/>
      <c r="B21" s="3"/>
      <c r="C21" s="4"/>
      <c r="D21" s="5"/>
      <c r="E21" s="57"/>
    </row>
    <row r="22" spans="1:5" x14ac:dyDescent="0.3">
      <c r="A22" s="3"/>
      <c r="B22" s="3"/>
      <c r="C22" s="4"/>
      <c r="D22" s="5"/>
      <c r="E22" s="57"/>
    </row>
    <row r="23" spans="1:5" x14ac:dyDescent="0.3">
      <c r="A23" s="3"/>
      <c r="B23" s="3"/>
      <c r="C23" s="4"/>
      <c r="D23" s="5"/>
      <c r="E23" s="57"/>
    </row>
    <row r="24" spans="1:5" x14ac:dyDescent="0.3">
      <c r="A24" s="3"/>
      <c r="B24" s="3"/>
      <c r="C24" s="4"/>
      <c r="D24" s="5"/>
      <c r="E24" s="57"/>
    </row>
    <row r="25" spans="1:5" x14ac:dyDescent="0.3">
      <c r="A25" s="3"/>
      <c r="B25" s="3"/>
      <c r="C25" s="4"/>
      <c r="D25" s="5"/>
      <c r="E25" s="57"/>
    </row>
    <row r="26" spans="1:5" x14ac:dyDescent="0.3">
      <c r="A26" s="3"/>
      <c r="B26" s="3"/>
      <c r="C26" s="4"/>
      <c r="D26" s="5"/>
      <c r="E26" s="57"/>
    </row>
    <row r="27" spans="1:5" x14ac:dyDescent="0.3">
      <c r="A27" s="73"/>
      <c r="B27" s="73"/>
      <c r="C27" s="73"/>
      <c r="D27" s="73"/>
      <c r="E27" s="61"/>
    </row>
    <row r="28" spans="1:5" x14ac:dyDescent="0.3">
      <c r="A28" s="3"/>
      <c r="B28" s="3"/>
      <c r="C28" s="4"/>
      <c r="D28" s="5"/>
      <c r="E28" s="57"/>
    </row>
    <row r="29" spans="1:5" x14ac:dyDescent="0.3">
      <c r="A29" s="3"/>
      <c r="B29" s="3"/>
      <c r="C29" s="4"/>
      <c r="D29" s="5"/>
      <c r="E29" s="57"/>
    </row>
    <row r="30" spans="1:5" x14ac:dyDescent="0.3">
      <c r="A30" s="3"/>
      <c r="B30" s="3"/>
      <c r="C30" s="4"/>
      <c r="D30" s="5"/>
      <c r="E30" s="57"/>
    </row>
    <row r="31" spans="1:5" x14ac:dyDescent="0.3">
      <c r="A31" s="3"/>
      <c r="B31" s="3"/>
      <c r="C31" s="4"/>
      <c r="D31" s="5"/>
      <c r="E31" s="57"/>
    </row>
    <row r="32" spans="1:5" x14ac:dyDescent="0.3">
      <c r="A32" s="3"/>
      <c r="B32" s="3"/>
      <c r="C32" s="4"/>
      <c r="D32" s="5"/>
      <c r="E32" s="57"/>
    </row>
    <row r="33" spans="1:5" x14ac:dyDescent="0.3">
      <c r="A33" s="3"/>
      <c r="B33" s="3"/>
      <c r="C33" s="4"/>
      <c r="D33" s="5"/>
      <c r="E33" s="57"/>
    </row>
    <row r="34" spans="1:5" x14ac:dyDescent="0.3">
      <c r="A34" s="3"/>
      <c r="B34" s="3"/>
      <c r="C34" s="4"/>
      <c r="D34" s="5"/>
      <c r="E34" s="57"/>
    </row>
    <row r="35" spans="1:5" x14ac:dyDescent="0.3">
      <c r="A35" s="3"/>
      <c r="B35" s="3"/>
      <c r="C35" s="4"/>
      <c r="D35" s="5"/>
      <c r="E35" s="57"/>
    </row>
    <row r="36" spans="1:5" x14ac:dyDescent="0.3">
      <c r="A36" s="3"/>
      <c r="B36" s="3"/>
      <c r="C36" s="4"/>
      <c r="D36" s="5"/>
      <c r="E36" s="57"/>
    </row>
    <row r="37" spans="1:5" x14ac:dyDescent="0.3">
      <c r="A37" s="3"/>
      <c r="B37" s="3"/>
      <c r="C37" s="4"/>
      <c r="D37" s="5"/>
      <c r="E37" s="57"/>
    </row>
    <row r="38" spans="1:5" x14ac:dyDescent="0.3">
      <c r="A38" s="3"/>
      <c r="B38" s="3"/>
      <c r="C38" s="4"/>
      <c r="D38" s="5"/>
      <c r="E38" s="57"/>
    </row>
    <row r="39" spans="1:5" x14ac:dyDescent="0.3">
      <c r="A39" s="3"/>
      <c r="B39" s="3"/>
      <c r="C39" s="4"/>
      <c r="D39" s="5"/>
      <c r="E39" s="57"/>
    </row>
    <row r="40" spans="1:5" x14ac:dyDescent="0.3">
      <c r="A40" s="3"/>
      <c r="B40" s="3"/>
      <c r="C40" s="4"/>
      <c r="D40" s="5"/>
      <c r="E40" s="57"/>
    </row>
    <row r="41" spans="1:5" x14ac:dyDescent="0.3">
      <c r="A41" s="3"/>
      <c r="B41" s="3"/>
      <c r="C41" s="4"/>
      <c r="D41" s="5"/>
      <c r="E41" s="57"/>
    </row>
    <row r="42" spans="1:5" x14ac:dyDescent="0.3">
      <c r="A42" s="3"/>
      <c r="B42" s="3"/>
      <c r="C42" s="4"/>
      <c r="D42" s="5"/>
      <c r="E42" s="57"/>
    </row>
    <row r="43" spans="1:5" x14ac:dyDescent="0.3">
      <c r="A43" s="3"/>
      <c r="B43" s="3"/>
      <c r="C43" s="4"/>
      <c r="D43" s="5"/>
      <c r="E43" s="57"/>
    </row>
    <row r="44" spans="1:5" x14ac:dyDescent="0.3">
      <c r="A44" s="3"/>
      <c r="B44" s="3"/>
      <c r="C44" s="4"/>
      <c r="D44" s="5"/>
      <c r="E44" s="57"/>
    </row>
    <row r="45" spans="1:5" x14ac:dyDescent="0.3">
      <c r="A45" s="3"/>
      <c r="B45" s="3"/>
      <c r="C45" s="4"/>
      <c r="D45" s="5"/>
      <c r="E45" s="57"/>
    </row>
    <row r="46" spans="1:5" x14ac:dyDescent="0.3">
      <c r="A46" s="3"/>
      <c r="B46" s="3"/>
      <c r="C46" s="4"/>
      <c r="D46" s="5"/>
      <c r="E46" s="57"/>
    </row>
    <row r="47" spans="1:5" x14ac:dyDescent="0.3">
      <c r="A47" s="3"/>
      <c r="B47" s="3"/>
      <c r="C47" s="4"/>
      <c r="D47" s="5"/>
      <c r="E47" s="57"/>
    </row>
    <row r="48" spans="1:5" x14ac:dyDescent="0.3">
      <c r="A48" s="3"/>
      <c r="B48" s="3"/>
      <c r="C48" s="4"/>
      <c r="D48" s="5"/>
      <c r="E48" s="57"/>
    </row>
    <row r="49" spans="1:5" x14ac:dyDescent="0.3">
      <c r="A49" s="3"/>
      <c r="B49" s="3"/>
      <c r="C49" s="4"/>
      <c r="D49" s="5"/>
      <c r="E49" s="57"/>
    </row>
    <row r="50" spans="1:5" x14ac:dyDescent="0.3">
      <c r="A50" s="73"/>
      <c r="B50" s="73"/>
      <c r="C50" s="73"/>
      <c r="D50" s="73"/>
      <c r="E50" s="61"/>
    </row>
    <row r="51" spans="1:5" x14ac:dyDescent="0.3">
      <c r="A51" s="3"/>
      <c r="B51" s="3"/>
      <c r="C51" s="4"/>
      <c r="D51" s="5"/>
      <c r="E51" s="57"/>
    </row>
    <row r="52" spans="1:5" x14ac:dyDescent="0.3">
      <c r="A52" s="3"/>
      <c r="B52" s="3"/>
      <c r="C52" s="4"/>
      <c r="D52" s="5"/>
      <c r="E52" s="57"/>
    </row>
    <row r="53" spans="1:5" x14ac:dyDescent="0.3">
      <c r="A53" s="73"/>
      <c r="B53" s="73"/>
      <c r="C53" s="73"/>
      <c r="D53" s="73"/>
      <c r="E53" s="61"/>
    </row>
    <row r="54" spans="1:5" x14ac:dyDescent="0.3">
      <c r="A54" s="3"/>
      <c r="B54" s="3"/>
      <c r="C54" s="4"/>
      <c r="D54" s="5"/>
      <c r="E54" s="57"/>
    </row>
    <row r="55" spans="1:5" x14ac:dyDescent="0.3">
      <c r="A55" s="3"/>
      <c r="B55" s="3"/>
      <c r="C55" s="4"/>
      <c r="D55" s="5"/>
      <c r="E55" s="57"/>
    </row>
    <row r="56" spans="1:5" x14ac:dyDescent="0.3">
      <c r="A56" s="3"/>
      <c r="B56" s="3"/>
      <c r="C56" s="4"/>
      <c r="D56" s="5"/>
      <c r="E56" s="57"/>
    </row>
    <row r="57" spans="1:5" x14ac:dyDescent="0.3">
      <c r="A57" s="3"/>
      <c r="B57" s="3"/>
      <c r="C57" s="4"/>
      <c r="D57" s="5"/>
      <c r="E57" s="57"/>
    </row>
    <row r="58" spans="1:5" x14ac:dyDescent="0.3">
      <c r="A58" s="3"/>
      <c r="B58" s="3"/>
      <c r="C58" s="4"/>
      <c r="D58" s="5"/>
      <c r="E58" s="57"/>
    </row>
    <row r="59" spans="1:5" x14ac:dyDescent="0.3">
      <c r="A59" s="3"/>
      <c r="B59" s="3"/>
      <c r="C59" s="4"/>
      <c r="D59" s="5"/>
      <c r="E59" s="57"/>
    </row>
    <row r="60" spans="1:5" x14ac:dyDescent="0.3">
      <c r="A60" s="3"/>
      <c r="B60" s="3"/>
      <c r="C60" s="4"/>
      <c r="D60" s="5"/>
      <c r="E60" s="57"/>
    </row>
    <row r="61" spans="1:5" x14ac:dyDescent="0.3">
      <c r="A61" s="73"/>
      <c r="B61" s="73"/>
      <c r="C61" s="73"/>
      <c r="D61" s="73"/>
      <c r="E61" s="61"/>
    </row>
    <row r="62" spans="1:5" x14ac:dyDescent="0.3">
      <c r="A62" s="3"/>
      <c r="B62" s="3"/>
      <c r="C62" s="4"/>
      <c r="D62" s="5"/>
      <c r="E62" s="57"/>
    </row>
    <row r="63" spans="1:5" x14ac:dyDescent="0.3">
      <c r="A63" s="3"/>
      <c r="B63" s="3"/>
      <c r="C63" s="4"/>
      <c r="D63" s="5"/>
      <c r="E63" s="57"/>
    </row>
    <row r="64" spans="1:5" x14ac:dyDescent="0.3">
      <c r="A64" s="3"/>
      <c r="B64" s="3"/>
      <c r="C64" s="4"/>
      <c r="D64" s="5"/>
      <c r="E64" s="57"/>
    </row>
    <row r="65" spans="1:5" x14ac:dyDescent="0.3">
      <c r="A65" s="3"/>
      <c r="B65" s="3"/>
      <c r="C65" s="4"/>
      <c r="D65" s="5"/>
      <c r="E65" s="57"/>
    </row>
    <row r="66" spans="1:5" x14ac:dyDescent="0.3">
      <c r="A66" s="3"/>
      <c r="B66" s="3"/>
      <c r="C66" s="4"/>
      <c r="D66" s="5"/>
      <c r="E66" s="57"/>
    </row>
    <row r="67" spans="1:5" x14ac:dyDescent="0.3">
      <c r="A67" s="3"/>
      <c r="B67" s="3"/>
      <c r="C67" s="4"/>
      <c r="D67" s="5"/>
      <c r="E67" s="57"/>
    </row>
    <row r="68" spans="1:5" x14ac:dyDescent="0.3">
      <c r="A68" s="3"/>
      <c r="B68" s="3"/>
      <c r="C68" s="4"/>
      <c r="D68" s="5"/>
      <c r="E68" s="57"/>
    </row>
    <row r="69" spans="1:5" x14ac:dyDescent="0.3">
      <c r="A69" s="3"/>
      <c r="B69" s="3"/>
      <c r="C69" s="4"/>
      <c r="D69" s="5"/>
      <c r="E69" s="57"/>
    </row>
    <row r="70" spans="1:5" x14ac:dyDescent="0.3">
      <c r="A70" s="3"/>
      <c r="B70" s="3"/>
      <c r="C70" s="4"/>
      <c r="D70" s="5"/>
      <c r="E70" s="57"/>
    </row>
    <row r="71" spans="1:5" x14ac:dyDescent="0.3">
      <c r="A71" s="3"/>
      <c r="B71" s="3"/>
      <c r="C71" s="4"/>
      <c r="D71" s="5"/>
      <c r="E71" s="57"/>
    </row>
    <row r="72" spans="1:5" x14ac:dyDescent="0.3">
      <c r="A72" s="3"/>
      <c r="B72" s="3"/>
      <c r="C72" s="4"/>
      <c r="D72" s="5"/>
      <c r="E72" s="57"/>
    </row>
    <row r="73" spans="1:5" x14ac:dyDescent="0.3">
      <c r="A73" s="3"/>
      <c r="B73" s="3"/>
      <c r="C73" s="4"/>
      <c r="D73" s="5"/>
      <c r="E73" s="57"/>
    </row>
    <row r="74" spans="1:5" x14ac:dyDescent="0.3">
      <c r="A74" s="3"/>
      <c r="B74" s="3"/>
      <c r="C74" s="4"/>
      <c r="D74" s="5"/>
      <c r="E74" s="57"/>
    </row>
    <row r="75" spans="1:5" x14ac:dyDescent="0.3">
      <c r="A75" s="3"/>
      <c r="B75" s="3"/>
      <c r="C75" s="4"/>
      <c r="D75" s="5"/>
      <c r="E75" s="57"/>
    </row>
    <row r="76" spans="1:5" x14ac:dyDescent="0.3">
      <c r="A76" s="3"/>
      <c r="B76" s="3"/>
      <c r="C76" s="4"/>
      <c r="D76" s="5"/>
      <c r="E76" s="57"/>
    </row>
    <row r="77" spans="1:5" x14ac:dyDescent="0.3">
      <c r="A77" s="3"/>
      <c r="B77" s="3"/>
      <c r="C77" s="4"/>
      <c r="D77" s="5"/>
      <c r="E77" s="57"/>
    </row>
    <row r="78" spans="1:5" x14ac:dyDescent="0.3">
      <c r="A78" s="3"/>
      <c r="B78" s="3"/>
      <c r="C78" s="4"/>
      <c r="D78" s="5"/>
      <c r="E78" s="57"/>
    </row>
    <row r="79" spans="1:5" x14ac:dyDescent="0.3">
      <c r="A79" s="3"/>
      <c r="B79" s="3"/>
      <c r="C79" s="4"/>
      <c r="D79" s="5"/>
      <c r="E79" s="57"/>
    </row>
    <row r="80" spans="1:5" x14ac:dyDescent="0.3">
      <c r="A80" s="3"/>
      <c r="B80" s="3"/>
      <c r="C80" s="4"/>
      <c r="D80" s="5"/>
      <c r="E80" s="57"/>
    </row>
    <row r="81" spans="1:5" x14ac:dyDescent="0.3">
      <c r="A81" s="3"/>
      <c r="B81" s="3"/>
      <c r="C81" s="4"/>
      <c r="D81" s="5"/>
      <c r="E81" s="57"/>
    </row>
    <row r="82" spans="1:5" x14ac:dyDescent="0.3">
      <c r="A82" s="3"/>
      <c r="B82" s="3"/>
      <c r="C82" s="4"/>
      <c r="D82" s="5"/>
      <c r="E82" s="57"/>
    </row>
    <row r="83" spans="1:5" x14ac:dyDescent="0.3">
      <c r="A83" s="3"/>
      <c r="B83" s="3"/>
      <c r="C83" s="4"/>
      <c r="D83" s="5"/>
      <c r="E83" s="57"/>
    </row>
    <row r="84" spans="1:5" x14ac:dyDescent="0.3">
      <c r="A84" s="3"/>
      <c r="B84" s="3"/>
      <c r="C84" s="4"/>
      <c r="D84" s="5"/>
      <c r="E84" s="57"/>
    </row>
    <row r="85" spans="1:5" x14ac:dyDescent="0.3">
      <c r="A85" s="3"/>
      <c r="B85" s="3"/>
      <c r="C85" s="4"/>
      <c r="D85" s="5"/>
      <c r="E85" s="57"/>
    </row>
    <row r="86" spans="1:5" x14ac:dyDescent="0.3">
      <c r="A86" s="3"/>
      <c r="B86" s="3"/>
      <c r="C86" s="4"/>
      <c r="D86" s="5"/>
      <c r="E86" s="57"/>
    </row>
    <row r="87" spans="1:5" x14ac:dyDescent="0.3">
      <c r="A87" s="3"/>
      <c r="B87" s="3"/>
      <c r="C87" s="4"/>
      <c r="D87" s="5"/>
      <c r="E87" s="57"/>
    </row>
    <row r="88" spans="1:5" x14ac:dyDescent="0.3">
      <c r="A88" s="3"/>
      <c r="B88" s="3"/>
      <c r="C88" s="4"/>
      <c r="D88" s="5"/>
      <c r="E88" s="57"/>
    </row>
    <row r="89" spans="1:5" x14ac:dyDescent="0.3">
      <c r="A89" s="3"/>
      <c r="B89" s="3"/>
      <c r="C89" s="4"/>
      <c r="D89" s="5"/>
      <c r="E89" s="57"/>
    </row>
    <row r="90" spans="1:5" x14ac:dyDescent="0.3">
      <c r="A90" s="3"/>
      <c r="B90" s="3"/>
      <c r="C90" s="4"/>
      <c r="D90" s="5"/>
      <c r="E90" s="57"/>
    </row>
    <row r="91" spans="1:5" x14ac:dyDescent="0.3">
      <c r="A91" s="3"/>
      <c r="B91" s="3"/>
      <c r="C91" s="4"/>
      <c r="D91" s="5"/>
      <c r="E91" s="57"/>
    </row>
    <row r="92" spans="1:5" x14ac:dyDescent="0.3">
      <c r="A92" s="3"/>
      <c r="B92" s="3"/>
      <c r="C92" s="4"/>
      <c r="D92" s="5"/>
      <c r="E92" s="57"/>
    </row>
    <row r="93" spans="1:5" x14ac:dyDescent="0.3">
      <c r="A93" s="3"/>
      <c r="B93" s="3"/>
      <c r="C93" s="4"/>
      <c r="D93" s="5"/>
      <c r="E93" s="57"/>
    </row>
    <row r="94" spans="1:5" x14ac:dyDescent="0.3">
      <c r="A94" s="3"/>
      <c r="B94" s="3"/>
      <c r="C94" s="4"/>
      <c r="D94" s="5"/>
      <c r="E94" s="57"/>
    </row>
    <row r="95" spans="1:5" x14ac:dyDescent="0.3">
      <c r="A95" s="3"/>
      <c r="B95" s="3"/>
      <c r="C95" s="4"/>
      <c r="D95" s="5"/>
      <c r="E95" s="57"/>
    </row>
    <row r="96" spans="1:5" x14ac:dyDescent="0.3">
      <c r="A96" s="73"/>
      <c r="B96" s="73"/>
      <c r="C96" s="73"/>
      <c r="D96" s="73"/>
      <c r="E96" s="61"/>
    </row>
    <row r="97" spans="1:5" x14ac:dyDescent="0.3">
      <c r="A97" s="3"/>
      <c r="B97" s="3"/>
      <c r="C97" s="4"/>
      <c r="D97" s="5"/>
      <c r="E97" s="57"/>
    </row>
    <row r="98" spans="1:5" x14ac:dyDescent="0.3">
      <c r="A98" s="3"/>
      <c r="B98" s="3"/>
      <c r="C98" s="4"/>
      <c r="D98" s="5"/>
      <c r="E98" s="57"/>
    </row>
    <row r="99" spans="1:5" x14ac:dyDescent="0.3">
      <c r="A99" s="73"/>
      <c r="B99" s="73"/>
      <c r="C99" s="73"/>
      <c r="D99" s="73"/>
      <c r="E99" s="61"/>
    </row>
    <row r="100" spans="1:5" x14ac:dyDescent="0.3">
      <c r="A100" s="3"/>
      <c r="B100" s="3"/>
      <c r="C100" s="4"/>
      <c r="D100" s="5"/>
      <c r="E100" s="57"/>
    </row>
    <row r="101" spans="1:5" x14ac:dyDescent="0.3">
      <c r="A101" s="3"/>
      <c r="B101" s="3"/>
      <c r="C101" s="4"/>
      <c r="D101" s="5"/>
      <c r="E101" s="57"/>
    </row>
    <row r="102" spans="1:5" x14ac:dyDescent="0.3">
      <c r="A102" s="3"/>
      <c r="B102" s="3"/>
      <c r="C102" s="4"/>
      <c r="D102" s="5"/>
      <c r="E102" s="57"/>
    </row>
    <row r="103" spans="1:5" x14ac:dyDescent="0.3">
      <c r="A103" s="3"/>
      <c r="B103" s="3"/>
      <c r="C103" s="4"/>
      <c r="D103" s="5"/>
      <c r="E103" s="57"/>
    </row>
    <row r="104" spans="1:5" x14ac:dyDescent="0.3">
      <c r="A104" s="73"/>
      <c r="B104" s="73"/>
      <c r="C104" s="73"/>
      <c r="D104" s="73"/>
      <c r="E104" s="61"/>
    </row>
    <row r="105" spans="1:5" x14ac:dyDescent="0.3">
      <c r="A105" s="3"/>
      <c r="B105" s="3"/>
      <c r="C105" s="4"/>
      <c r="D105" s="5"/>
      <c r="E105" s="57"/>
    </row>
    <row r="106" spans="1:5" x14ac:dyDescent="0.3">
      <c r="A106" s="3"/>
      <c r="B106" s="3"/>
      <c r="C106" s="4"/>
      <c r="D106" s="5"/>
      <c r="E106" s="57"/>
    </row>
    <row r="107" spans="1:5" x14ac:dyDescent="0.3">
      <c r="A107" s="73"/>
      <c r="B107" s="73"/>
      <c r="C107" s="73"/>
      <c r="D107" s="73"/>
      <c r="E107" s="61"/>
    </row>
    <row r="108" spans="1:5" x14ac:dyDescent="0.3">
      <c r="A108" s="3"/>
      <c r="B108" s="3"/>
      <c r="C108" s="4"/>
      <c r="D108" s="5"/>
      <c r="E108" s="57"/>
    </row>
    <row r="109" spans="1:5" x14ac:dyDescent="0.3">
      <c r="A109" s="3"/>
      <c r="B109" s="3"/>
      <c r="C109" s="4"/>
      <c r="D109" s="5"/>
      <c r="E109" s="57"/>
    </row>
    <row r="110" spans="1:5" x14ac:dyDescent="0.3">
      <c r="A110" s="3"/>
      <c r="B110" s="3"/>
      <c r="C110" s="4"/>
      <c r="D110" s="5"/>
      <c r="E110" s="57"/>
    </row>
    <row r="111" spans="1:5" x14ac:dyDescent="0.3">
      <c r="A111" s="3"/>
      <c r="B111" s="3"/>
      <c r="C111" s="4"/>
      <c r="D111" s="5"/>
      <c r="E111" s="57"/>
    </row>
    <row r="112" spans="1:5" x14ac:dyDescent="0.3">
      <c r="A112" s="3"/>
      <c r="B112" s="3"/>
      <c r="C112" s="4"/>
      <c r="D112" s="5"/>
      <c r="E112" s="57"/>
    </row>
    <row r="113" spans="1:5" x14ac:dyDescent="0.3">
      <c r="A113" s="3"/>
      <c r="B113" s="3"/>
      <c r="C113" s="4"/>
      <c r="D113" s="5"/>
      <c r="E113" s="57"/>
    </row>
    <row r="114" spans="1:5" x14ac:dyDescent="0.3">
      <c r="A114" s="3"/>
      <c r="B114" s="3"/>
      <c r="C114" s="4"/>
      <c r="D114" s="5"/>
      <c r="E114" s="57"/>
    </row>
    <row r="115" spans="1:5" x14ac:dyDescent="0.3">
      <c r="A115" s="3"/>
      <c r="B115" s="3"/>
      <c r="C115" s="4"/>
      <c r="D115" s="5"/>
      <c r="E115" s="57"/>
    </row>
    <row r="116" spans="1:5" x14ac:dyDescent="0.3">
      <c r="A116" s="3"/>
      <c r="B116" s="3"/>
      <c r="C116" s="4"/>
      <c r="D116" s="5"/>
      <c r="E116" s="57"/>
    </row>
    <row r="117" spans="1:5" x14ac:dyDescent="0.3">
      <c r="A117" s="3"/>
      <c r="B117" s="3"/>
      <c r="C117" s="4"/>
      <c r="D117" s="5"/>
      <c r="E117" s="57"/>
    </row>
    <row r="118" spans="1:5" x14ac:dyDescent="0.3">
      <c r="A118" s="3"/>
      <c r="B118" s="3"/>
      <c r="C118" s="4"/>
      <c r="D118" s="5"/>
      <c r="E118" s="57"/>
    </row>
    <row r="119" spans="1:5" x14ac:dyDescent="0.3">
      <c r="A119" s="3"/>
      <c r="B119" s="3"/>
      <c r="C119" s="4"/>
      <c r="D119" s="5"/>
      <c r="E119" s="57"/>
    </row>
    <row r="120" spans="1:5" x14ac:dyDescent="0.3">
      <c r="A120" s="3"/>
      <c r="B120" s="3"/>
      <c r="C120" s="4"/>
      <c r="D120" s="5"/>
      <c r="E120" s="57"/>
    </row>
    <row r="121" spans="1:5" x14ac:dyDescent="0.3">
      <c r="A121" s="3"/>
      <c r="B121" s="3"/>
      <c r="C121" s="4"/>
      <c r="D121" s="5"/>
      <c r="E121" s="57"/>
    </row>
    <row r="122" spans="1:5" x14ac:dyDescent="0.3">
      <c r="A122" s="3"/>
      <c r="B122" s="3"/>
      <c r="C122" s="4"/>
      <c r="D122" s="5"/>
      <c r="E122" s="57"/>
    </row>
    <row r="123" spans="1:5" x14ac:dyDescent="0.3">
      <c r="A123" s="3"/>
      <c r="B123" s="3"/>
      <c r="C123" s="4"/>
      <c r="D123" s="5"/>
      <c r="E123" s="57"/>
    </row>
    <row r="124" spans="1:5" x14ac:dyDescent="0.3">
      <c r="A124" s="3"/>
      <c r="B124" s="3"/>
      <c r="C124" s="4"/>
      <c r="D124" s="5"/>
      <c r="E124" s="57"/>
    </row>
    <row r="125" spans="1:5" x14ac:dyDescent="0.3">
      <c r="A125" s="3"/>
      <c r="B125" s="3"/>
      <c r="C125" s="4"/>
      <c r="D125" s="5"/>
      <c r="E125" s="57"/>
    </row>
    <row r="126" spans="1:5" x14ac:dyDescent="0.3">
      <c r="A126" s="3"/>
      <c r="B126" s="3"/>
      <c r="C126" s="4"/>
      <c r="D126" s="5"/>
      <c r="E126" s="57"/>
    </row>
    <row r="127" spans="1:5" x14ac:dyDescent="0.3">
      <c r="A127" s="3"/>
      <c r="B127" s="3"/>
      <c r="C127" s="4"/>
      <c r="D127" s="5"/>
      <c r="E127" s="57"/>
    </row>
    <row r="128" spans="1:5" x14ac:dyDescent="0.3">
      <c r="A128" s="3"/>
      <c r="B128" s="3"/>
      <c r="C128" s="4"/>
      <c r="D128" s="5"/>
      <c r="E128" s="57"/>
    </row>
    <row r="129" spans="1:5" x14ac:dyDescent="0.3">
      <c r="A129" s="73"/>
      <c r="B129" s="73"/>
      <c r="C129" s="73"/>
      <c r="D129" s="73"/>
      <c r="E129" s="61"/>
    </row>
    <row r="130" spans="1:5" x14ac:dyDescent="0.3">
      <c r="A130" s="3"/>
      <c r="B130" s="3"/>
      <c r="C130" s="4"/>
      <c r="D130" s="5"/>
      <c r="E130" s="57"/>
    </row>
    <row r="131" spans="1:5" x14ac:dyDescent="0.3">
      <c r="A131" s="3"/>
      <c r="B131" s="3"/>
      <c r="C131" s="4"/>
      <c r="D131" s="5"/>
      <c r="E131" s="57"/>
    </row>
    <row r="132" spans="1:5" x14ac:dyDescent="0.3">
      <c r="A132" s="3"/>
      <c r="B132" s="3"/>
      <c r="C132" s="4"/>
      <c r="D132" s="5"/>
      <c r="E132" s="57"/>
    </row>
    <row r="133" spans="1:5" x14ac:dyDescent="0.3">
      <c r="A133" s="3"/>
      <c r="B133" s="3"/>
      <c r="C133" s="4"/>
      <c r="D133" s="5"/>
      <c r="E133" s="57"/>
    </row>
    <row r="134" spans="1:5" x14ac:dyDescent="0.3">
      <c r="A134" s="3"/>
      <c r="B134" s="3"/>
      <c r="C134" s="4"/>
      <c r="D134" s="5"/>
      <c r="E134" s="57"/>
    </row>
    <row r="135" spans="1:5" x14ac:dyDescent="0.3">
      <c r="A135" s="3"/>
      <c r="B135" s="3"/>
      <c r="C135" s="4"/>
      <c r="D135" s="5"/>
      <c r="E135" s="57"/>
    </row>
    <row r="136" spans="1:5" x14ac:dyDescent="0.3">
      <c r="A136" s="73"/>
      <c r="B136" s="73"/>
      <c r="C136" s="73"/>
      <c r="D136" s="73"/>
      <c r="E136" s="61"/>
    </row>
    <row r="137" spans="1:5" x14ac:dyDescent="0.3">
      <c r="A137" s="3"/>
      <c r="B137" s="3"/>
      <c r="C137" s="4"/>
      <c r="D137" s="5"/>
      <c r="E137" s="57"/>
    </row>
    <row r="138" spans="1:5" x14ac:dyDescent="0.3">
      <c r="A138" s="73"/>
      <c r="B138" s="73"/>
      <c r="C138" s="73"/>
      <c r="D138" s="73"/>
      <c r="E138" s="61"/>
    </row>
    <row r="139" spans="1:5" x14ac:dyDescent="0.3">
      <c r="A139" s="3"/>
      <c r="B139" s="3"/>
      <c r="C139" s="4"/>
      <c r="D139" s="5"/>
      <c r="E139" s="57"/>
    </row>
    <row r="140" spans="1:5" x14ac:dyDescent="0.3">
      <c r="A140" s="3"/>
      <c r="B140" s="3"/>
      <c r="C140" s="4"/>
      <c r="D140" s="5"/>
      <c r="E140" s="57"/>
    </row>
    <row r="141" spans="1:5" x14ac:dyDescent="0.3">
      <c r="A141" s="3"/>
      <c r="B141" s="3"/>
      <c r="C141" s="4"/>
      <c r="D141" s="5"/>
      <c r="E141" s="57"/>
    </row>
    <row r="142" spans="1:5" x14ac:dyDescent="0.3">
      <c r="A142" s="3"/>
      <c r="B142" s="3"/>
      <c r="C142" s="4"/>
      <c r="D142" s="5"/>
      <c r="E142" s="57"/>
    </row>
    <row r="143" spans="1:5" x14ac:dyDescent="0.3">
      <c r="A143" s="3"/>
      <c r="B143" s="3"/>
      <c r="C143" s="4"/>
      <c r="D143" s="5"/>
      <c r="E143" s="57"/>
    </row>
    <row r="144" spans="1:5" x14ac:dyDescent="0.3">
      <c r="A144" s="3"/>
      <c r="B144" s="3"/>
      <c r="C144" s="4"/>
      <c r="D144" s="5"/>
      <c r="E144" s="57"/>
    </row>
    <row r="145" spans="1:5" x14ac:dyDescent="0.3">
      <c r="A145" s="3"/>
      <c r="B145" s="3"/>
      <c r="C145" s="4"/>
      <c r="D145" s="5"/>
      <c r="E145" s="57"/>
    </row>
    <row r="146" spans="1:5" x14ac:dyDescent="0.3">
      <c r="A146" s="3"/>
      <c r="B146" s="3"/>
      <c r="C146" s="4"/>
      <c r="D146" s="5"/>
      <c r="E146" s="57"/>
    </row>
    <row r="147" spans="1:5" x14ac:dyDescent="0.3">
      <c r="A147" s="3"/>
      <c r="B147" s="3"/>
      <c r="C147" s="4"/>
      <c r="D147" s="5"/>
      <c r="E147" s="57"/>
    </row>
    <row r="148" spans="1:5" x14ac:dyDescent="0.3">
      <c r="A148" s="3"/>
      <c r="B148" s="3"/>
      <c r="C148" s="4"/>
      <c r="D148" s="5"/>
      <c r="E148" s="57"/>
    </row>
    <row r="149" spans="1:5" x14ac:dyDescent="0.3">
      <c r="A149" s="3"/>
      <c r="B149" s="3"/>
      <c r="C149" s="4"/>
      <c r="D149" s="5"/>
      <c r="E149" s="57"/>
    </row>
    <row r="150" spans="1:5" x14ac:dyDescent="0.3">
      <c r="A150" s="3"/>
      <c r="B150" s="3"/>
      <c r="C150" s="4"/>
      <c r="D150" s="5"/>
      <c r="E150" s="57"/>
    </row>
    <row r="151" spans="1:5" x14ac:dyDescent="0.3">
      <c r="A151" s="3"/>
      <c r="B151" s="3"/>
      <c r="C151" s="4"/>
      <c r="D151" s="5"/>
      <c r="E151" s="57"/>
    </row>
    <row r="152" spans="1:5" x14ac:dyDescent="0.3">
      <c r="A152" s="3"/>
      <c r="B152" s="3"/>
      <c r="C152" s="4"/>
      <c r="D152" s="5"/>
      <c r="E152" s="57"/>
    </row>
    <row r="153" spans="1:5" x14ac:dyDescent="0.3">
      <c r="A153" s="3"/>
      <c r="B153" s="3"/>
      <c r="C153" s="4"/>
      <c r="D153" s="5"/>
      <c r="E153" s="57"/>
    </row>
    <row r="154" spans="1:5" x14ac:dyDescent="0.3">
      <c r="A154" s="3"/>
      <c r="B154" s="3"/>
      <c r="C154" s="4"/>
      <c r="D154" s="5"/>
      <c r="E154" s="57"/>
    </row>
    <row r="155" spans="1:5" x14ac:dyDescent="0.3">
      <c r="A155" s="3"/>
      <c r="B155" s="3"/>
      <c r="C155" s="4"/>
      <c r="D155" s="5"/>
      <c r="E155" s="57"/>
    </row>
    <row r="156" spans="1:5" x14ac:dyDescent="0.3">
      <c r="A156" s="3"/>
      <c r="B156" s="3"/>
      <c r="C156" s="4"/>
      <c r="D156" s="5"/>
      <c r="E156" s="57"/>
    </row>
    <row r="157" spans="1:5" x14ac:dyDescent="0.3">
      <c r="A157" s="3"/>
      <c r="B157" s="3"/>
      <c r="C157" s="4"/>
      <c r="D157" s="5"/>
      <c r="E157" s="57"/>
    </row>
    <row r="158" spans="1:5" x14ac:dyDescent="0.3">
      <c r="A158" s="3"/>
      <c r="B158" s="3"/>
      <c r="C158" s="4"/>
      <c r="D158" s="5"/>
      <c r="E158" s="57"/>
    </row>
    <row r="159" spans="1:5" x14ac:dyDescent="0.3">
      <c r="A159" s="3"/>
      <c r="B159" s="3"/>
      <c r="C159" s="4"/>
      <c r="D159" s="5"/>
      <c r="E159" s="57"/>
    </row>
    <row r="160" spans="1:5" x14ac:dyDescent="0.3">
      <c r="A160" s="3"/>
      <c r="B160" s="3"/>
      <c r="C160" s="4"/>
      <c r="D160" s="5"/>
      <c r="E160" s="57"/>
    </row>
    <row r="161" spans="1:5" x14ac:dyDescent="0.3">
      <c r="A161" s="3"/>
      <c r="B161" s="3"/>
      <c r="C161" s="4"/>
      <c r="D161" s="5"/>
      <c r="E161" s="57"/>
    </row>
    <row r="162" spans="1:5" x14ac:dyDescent="0.3">
      <c r="A162" s="3"/>
      <c r="B162" s="3"/>
      <c r="C162" s="4"/>
      <c r="D162" s="5"/>
      <c r="E162" s="57"/>
    </row>
    <row r="163" spans="1:5" x14ac:dyDescent="0.3">
      <c r="A163" s="3"/>
      <c r="B163" s="3"/>
      <c r="C163" s="4"/>
      <c r="D163" s="5"/>
      <c r="E163" s="57"/>
    </row>
    <row r="164" spans="1:5" x14ac:dyDescent="0.3">
      <c r="A164" s="3"/>
      <c r="B164" s="3"/>
      <c r="C164" s="4"/>
      <c r="D164" s="5"/>
      <c r="E164" s="57"/>
    </row>
    <row r="165" spans="1:5" x14ac:dyDescent="0.3">
      <c r="A165" s="3"/>
      <c r="B165" s="3"/>
      <c r="C165" s="4"/>
      <c r="D165" s="5"/>
      <c r="E165" s="57"/>
    </row>
    <row r="166" spans="1:5" x14ac:dyDescent="0.3">
      <c r="A166" s="3"/>
      <c r="B166" s="3"/>
      <c r="C166" s="4"/>
      <c r="D166" s="5"/>
      <c r="E166" s="57"/>
    </row>
    <row r="167" spans="1:5" x14ac:dyDescent="0.3">
      <c r="A167" s="3"/>
      <c r="B167" s="3"/>
      <c r="C167" s="4"/>
      <c r="D167" s="5"/>
      <c r="E167" s="57"/>
    </row>
    <row r="168" spans="1:5" x14ac:dyDescent="0.3">
      <c r="A168" s="3"/>
      <c r="B168" s="3"/>
      <c r="C168" s="4"/>
      <c r="D168" s="5"/>
      <c r="E168" s="57"/>
    </row>
    <row r="169" spans="1:5" x14ac:dyDescent="0.3">
      <c r="A169" s="3"/>
      <c r="B169" s="3"/>
      <c r="C169" s="4"/>
      <c r="D169" s="5"/>
      <c r="E169" s="57"/>
    </row>
    <row r="170" spans="1:5" x14ac:dyDescent="0.3">
      <c r="A170" s="3"/>
      <c r="B170" s="3"/>
      <c r="C170" s="4"/>
      <c r="D170" s="5"/>
      <c r="E170" s="57"/>
    </row>
    <row r="171" spans="1:5" x14ac:dyDescent="0.3">
      <c r="A171" s="3"/>
      <c r="B171" s="3"/>
      <c r="C171" s="4"/>
      <c r="D171" s="5"/>
      <c r="E171" s="57"/>
    </row>
    <row r="172" spans="1:5" x14ac:dyDescent="0.3">
      <c r="A172" s="3"/>
      <c r="B172" s="3"/>
      <c r="C172" s="4"/>
      <c r="D172" s="5"/>
      <c r="E172" s="57"/>
    </row>
    <row r="173" spans="1:5" x14ac:dyDescent="0.3">
      <c r="A173" s="3"/>
      <c r="B173" s="3"/>
      <c r="C173" s="4"/>
      <c r="D173" s="5"/>
      <c r="E173" s="57"/>
    </row>
    <row r="174" spans="1:5" x14ac:dyDescent="0.3">
      <c r="A174" s="3"/>
      <c r="B174" s="3"/>
      <c r="C174" s="4"/>
      <c r="D174" s="5"/>
      <c r="E174" s="57"/>
    </row>
    <row r="175" spans="1:5" x14ac:dyDescent="0.3">
      <c r="A175" s="3"/>
      <c r="B175" s="3"/>
      <c r="C175" s="4"/>
      <c r="D175" s="5"/>
      <c r="E175" s="57"/>
    </row>
    <row r="176" spans="1:5" x14ac:dyDescent="0.3">
      <c r="A176" s="3"/>
      <c r="B176" s="3"/>
      <c r="C176" s="4"/>
      <c r="D176" s="5"/>
      <c r="E176" s="57"/>
    </row>
    <row r="177" spans="1:5" x14ac:dyDescent="0.3">
      <c r="A177" s="3"/>
      <c r="B177" s="3"/>
      <c r="C177" s="4"/>
      <c r="D177" s="5"/>
      <c r="E177" s="57"/>
    </row>
    <row r="178" spans="1:5" x14ac:dyDescent="0.3">
      <c r="A178" s="3"/>
      <c r="B178" s="3"/>
      <c r="C178" s="4"/>
      <c r="D178" s="5"/>
      <c r="E178" s="57"/>
    </row>
    <row r="179" spans="1:5" x14ac:dyDescent="0.3">
      <c r="A179" s="3"/>
      <c r="B179" s="3"/>
      <c r="C179" s="4"/>
      <c r="D179" s="5"/>
      <c r="E179" s="57"/>
    </row>
    <row r="180" spans="1:5" x14ac:dyDescent="0.3">
      <c r="A180" s="3"/>
      <c r="B180" s="3"/>
      <c r="C180" s="4"/>
      <c r="D180" s="5"/>
      <c r="E180" s="57"/>
    </row>
    <row r="181" spans="1:5" x14ac:dyDescent="0.3">
      <c r="A181" s="3"/>
      <c r="B181" s="3"/>
      <c r="C181" s="4"/>
      <c r="D181" s="5"/>
      <c r="E181" s="57"/>
    </row>
    <row r="182" spans="1:5" x14ac:dyDescent="0.3">
      <c r="A182" s="3"/>
      <c r="B182" s="3"/>
      <c r="C182" s="4"/>
      <c r="D182" s="5"/>
      <c r="E182" s="57"/>
    </row>
  </sheetData>
  <mergeCells count="14">
    <mergeCell ref="A1:E1"/>
    <mergeCell ref="A5:D5"/>
    <mergeCell ref="A20:D20"/>
    <mergeCell ref="A27:D27"/>
    <mergeCell ref="A50:D50"/>
    <mergeCell ref="A53:D53"/>
    <mergeCell ref="A61:D61"/>
    <mergeCell ref="A96:D96"/>
    <mergeCell ref="A99:D99"/>
    <mergeCell ref="A104:D104"/>
    <mergeCell ref="A107:D107"/>
    <mergeCell ref="A129:D129"/>
    <mergeCell ref="A136:D136"/>
    <mergeCell ref="A138:D138"/>
  </mergeCells>
  <hyperlinks>
    <hyperlink ref="A1:E1" location="Главная!A1" display="ВОЗВРАТ НА ГЛАВНУЮ СТРАНИЦУ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Kaspersky</vt:lpstr>
      <vt:lpstr>Dr.Web</vt:lpstr>
      <vt:lpstr>Microsoft</vt:lpstr>
      <vt:lpstr>1С</vt:lpstr>
      <vt:lpstr>Антиплагиат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Дмитрий Печенников</cp:lastModifiedBy>
  <dcterms:created xsi:type="dcterms:W3CDTF">2020-04-15T05:32:05Z</dcterms:created>
  <dcterms:modified xsi:type="dcterms:W3CDTF">2020-04-17T11:17:41Z</dcterms:modified>
</cp:coreProperties>
</file>